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nma\Desktop\"/>
    </mc:Choice>
  </mc:AlternateContent>
  <xr:revisionPtr revIDLastSave="0" documentId="13_ncr:1_{B63E8323-DEBD-4D28-A77E-DBAC177D11DC}" xr6:coauthVersionLast="31" xr6:coauthVersionMax="31" xr10:uidLastSave="{00000000-0000-0000-0000-000000000000}"/>
  <bookViews>
    <workbookView xWindow="0" yWindow="0" windowWidth="15885" windowHeight="6825" xr2:uid="{00000000-000D-0000-FFFF-FFFF00000000}"/>
  </bookViews>
  <sheets>
    <sheet name="単価入力" sheetId="4" r:id="rId1"/>
    <sheet name="時間制約なし昼間" sheetId="1" r:id="rId2"/>
    <sheet name="一日未満で完了" sheetId="11" r:id="rId3"/>
    <sheet name="時間制約なし夜間" sheetId="7" r:id="rId4"/>
    <sheet name="時間制限なし昼間排水性舗装" sheetId="8" r:id="rId5"/>
    <sheet name="時間制限なし昼間未供用" sheetId="9" r:id="rId6"/>
    <sheet name="ペイント消去時間制約なし昼間" sheetId="10" r:id="rId7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1" l="1"/>
  <c r="D26" i="11"/>
  <c r="D27" i="11"/>
  <c r="D28" i="11"/>
  <c r="D29" i="11"/>
  <c r="D30" i="11"/>
  <c r="D31" i="11"/>
  <c r="D32" i="11"/>
  <c r="D33" i="11"/>
  <c r="D34" i="11"/>
  <c r="D35" i="11"/>
  <c r="D36" i="11"/>
  <c r="D24" i="11"/>
  <c r="A5" i="11"/>
  <c r="A24" i="11" s="1"/>
  <c r="B5" i="11"/>
  <c r="B24" i="11" s="1"/>
  <c r="C14" i="11" l="1"/>
  <c r="C33" i="11" s="1"/>
  <c r="E33" i="11" s="1"/>
  <c r="C15" i="11"/>
  <c r="C34" i="11" s="1"/>
  <c r="E34" i="11" s="1"/>
  <c r="C16" i="11"/>
  <c r="C17" i="11"/>
  <c r="B14" i="11"/>
  <c r="B33" i="11" s="1"/>
  <c r="B15" i="11"/>
  <c r="B34" i="11" s="1"/>
  <c r="B16" i="11"/>
  <c r="B35" i="11" s="1"/>
  <c r="B17" i="11"/>
  <c r="B36" i="11" s="1"/>
  <c r="A17" i="11"/>
  <c r="A36" i="11" s="1"/>
  <c r="C13" i="11"/>
  <c r="C32" i="11" s="1"/>
  <c r="E32" i="11" s="1"/>
  <c r="B13" i="11"/>
  <c r="B32" i="11" s="1"/>
  <c r="A13" i="11"/>
  <c r="A32" i="11" s="1"/>
  <c r="C6" i="11"/>
  <c r="C25" i="11" s="1"/>
  <c r="E25" i="11" s="1"/>
  <c r="C7" i="11"/>
  <c r="C26" i="11" s="1"/>
  <c r="E26" i="11" s="1"/>
  <c r="C8" i="11"/>
  <c r="C9" i="11"/>
  <c r="C10" i="11"/>
  <c r="C11" i="11"/>
  <c r="C12" i="11"/>
  <c r="B6" i="11"/>
  <c r="B25" i="11" s="1"/>
  <c r="B7" i="11"/>
  <c r="B26" i="11" s="1"/>
  <c r="B8" i="11"/>
  <c r="B27" i="11" s="1"/>
  <c r="B9" i="11"/>
  <c r="B28" i="11" s="1"/>
  <c r="B10" i="11"/>
  <c r="B29" i="11" s="1"/>
  <c r="B11" i="11"/>
  <c r="B30" i="11" s="1"/>
  <c r="B12" i="11"/>
  <c r="B31" i="11" s="1"/>
  <c r="A9" i="11"/>
  <c r="A28" i="11" s="1"/>
  <c r="C5" i="11"/>
  <c r="C24" i="11" s="1"/>
  <c r="E24" i="11" s="1"/>
  <c r="E15" i="11" l="1"/>
  <c r="E9" i="11"/>
  <c r="C28" i="11"/>
  <c r="E28" i="11" s="1"/>
  <c r="E8" i="11"/>
  <c r="C27" i="11"/>
  <c r="E27" i="11" s="1"/>
  <c r="E17" i="11"/>
  <c r="C36" i="11"/>
  <c r="E36" i="11" s="1"/>
  <c r="E12" i="11"/>
  <c r="C31" i="11"/>
  <c r="E31" i="11" s="1"/>
  <c r="E16" i="11"/>
  <c r="C35" i="11"/>
  <c r="E35" i="11" s="1"/>
  <c r="E11" i="11"/>
  <c r="C30" i="11"/>
  <c r="E30" i="11" s="1"/>
  <c r="E10" i="11"/>
  <c r="C29" i="11"/>
  <c r="E29" i="11" s="1"/>
  <c r="E13" i="11"/>
  <c r="E7" i="11"/>
  <c r="E14" i="11"/>
  <c r="E6" i="11"/>
  <c r="E5" i="11"/>
  <c r="J18" i="10"/>
  <c r="H19" i="10"/>
  <c r="H18" i="10"/>
  <c r="G19" i="1"/>
  <c r="F19" i="1"/>
  <c r="E19" i="1"/>
  <c r="D19" i="1"/>
  <c r="G18" i="1"/>
  <c r="F18" i="1"/>
  <c r="E18" i="1"/>
  <c r="D18" i="1"/>
  <c r="E37" i="11" l="1"/>
  <c r="C37" i="11" s="1"/>
  <c r="F36" i="11" s="1"/>
  <c r="G36" i="11" s="1"/>
  <c r="E18" i="11"/>
  <c r="C18" i="11" s="1"/>
  <c r="F5" i="11" s="1"/>
  <c r="F10" i="10"/>
  <c r="F9" i="10"/>
  <c r="F8" i="10"/>
  <c r="E10" i="10"/>
  <c r="E9" i="10"/>
  <c r="E8" i="10"/>
  <c r="D10" i="10"/>
  <c r="D9" i="10"/>
  <c r="D8" i="10"/>
  <c r="F15" i="10"/>
  <c r="E15" i="10"/>
  <c r="F7" i="10"/>
  <c r="E7" i="10"/>
  <c r="F6" i="10"/>
  <c r="F34" i="11" l="1"/>
  <c r="G34" i="11" s="1"/>
  <c r="F28" i="11"/>
  <c r="G28" i="11" s="1"/>
  <c r="F27" i="11"/>
  <c r="G27" i="11" s="1"/>
  <c r="F32" i="11"/>
  <c r="G32" i="11" s="1"/>
  <c r="F35" i="11"/>
  <c r="G35" i="11" s="1"/>
  <c r="F24" i="11"/>
  <c r="G24" i="11" s="1"/>
  <c r="F31" i="11"/>
  <c r="G31" i="11" s="1"/>
  <c r="F26" i="11"/>
  <c r="G26" i="11" s="1"/>
  <c r="F33" i="11"/>
  <c r="G33" i="11" s="1"/>
  <c r="F25" i="11"/>
  <c r="G25" i="11" s="1"/>
  <c r="F29" i="11"/>
  <c r="G29" i="11" s="1"/>
  <c r="F30" i="11"/>
  <c r="G30" i="11" s="1"/>
  <c r="G5" i="11"/>
  <c r="F8" i="11"/>
  <c r="G8" i="11" s="1"/>
  <c r="F17" i="11"/>
  <c r="G17" i="11" s="1"/>
  <c r="F9" i="11"/>
  <c r="G9" i="11" s="1"/>
  <c r="F13" i="11"/>
  <c r="G13" i="11" s="1"/>
  <c r="F15" i="11"/>
  <c r="G15" i="11" s="1"/>
  <c r="F12" i="11"/>
  <c r="G12" i="11" s="1"/>
  <c r="F7" i="11"/>
  <c r="G7" i="11" s="1"/>
  <c r="F16" i="11"/>
  <c r="G16" i="11" s="1"/>
  <c r="F11" i="11"/>
  <c r="G11" i="11" s="1"/>
  <c r="F14" i="11"/>
  <c r="G14" i="11" s="1"/>
  <c r="F10" i="11"/>
  <c r="G10" i="11" s="1"/>
  <c r="F6" i="11"/>
  <c r="G6" i="11" s="1"/>
  <c r="G10" i="10"/>
  <c r="G9" i="10"/>
  <c r="G8" i="10"/>
  <c r="E5" i="10"/>
  <c r="E6" i="10"/>
  <c r="F5" i="10"/>
  <c r="C17" i="10"/>
  <c r="C16" i="10"/>
  <c r="C15" i="10"/>
  <c r="F17" i="10"/>
  <c r="E17" i="10"/>
  <c r="D17" i="10"/>
  <c r="F16" i="10"/>
  <c r="E16" i="10"/>
  <c r="D16" i="10"/>
  <c r="D15" i="10"/>
  <c r="D7" i="10"/>
  <c r="G7" i="10" s="1"/>
  <c r="D6" i="10"/>
  <c r="C10" i="10"/>
  <c r="C9" i="10"/>
  <c r="C8" i="10"/>
  <c r="C7" i="10"/>
  <c r="C6" i="10"/>
  <c r="C5" i="10"/>
  <c r="D5" i="10"/>
  <c r="D1" i="10"/>
  <c r="C1" i="10"/>
  <c r="G37" i="11" l="1"/>
  <c r="G18" i="11"/>
  <c r="H7" i="10"/>
  <c r="J7" i="10" s="1"/>
  <c r="H9" i="10"/>
  <c r="J9" i="10" s="1"/>
  <c r="G6" i="10"/>
  <c r="H6" i="10" s="1"/>
  <c r="J6" i="10" s="1"/>
  <c r="H8" i="10"/>
  <c r="J8" i="10" s="1"/>
  <c r="H16" i="10"/>
  <c r="J16" i="10" s="1"/>
  <c r="H10" i="10"/>
  <c r="J10" i="10" s="1"/>
  <c r="H17" i="10"/>
  <c r="J17" i="10" s="1"/>
  <c r="G5" i="10"/>
  <c r="H5" i="10" s="1"/>
  <c r="J5" i="10" s="1"/>
  <c r="H15" i="10"/>
  <c r="J15" i="10" s="1"/>
  <c r="G16" i="9"/>
  <c r="G15" i="9"/>
  <c r="G14" i="9"/>
  <c r="G13" i="9"/>
  <c r="G12" i="9"/>
  <c r="G11" i="9"/>
  <c r="G10" i="9"/>
  <c r="G9" i="9"/>
  <c r="G8" i="9"/>
  <c r="G7" i="9"/>
  <c r="G6" i="9"/>
  <c r="G5" i="9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5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G17" i="9"/>
  <c r="F17" i="9"/>
  <c r="E17" i="9"/>
  <c r="D17" i="9"/>
  <c r="F16" i="9"/>
  <c r="E16" i="9"/>
  <c r="D16" i="9"/>
  <c r="F15" i="9"/>
  <c r="E15" i="9"/>
  <c r="D15" i="9"/>
  <c r="F14" i="9"/>
  <c r="E14" i="9"/>
  <c r="D14" i="9"/>
  <c r="F13" i="9"/>
  <c r="E13" i="9"/>
  <c r="D13" i="9"/>
  <c r="F12" i="9"/>
  <c r="E12" i="9"/>
  <c r="D12" i="9"/>
  <c r="F11" i="9"/>
  <c r="E11" i="9"/>
  <c r="D11" i="9"/>
  <c r="F10" i="9"/>
  <c r="E10" i="9"/>
  <c r="D10" i="9"/>
  <c r="F9" i="9"/>
  <c r="E9" i="9"/>
  <c r="D9" i="9"/>
  <c r="F8" i="9"/>
  <c r="E8" i="9"/>
  <c r="D8" i="9"/>
  <c r="F7" i="9"/>
  <c r="E7" i="9"/>
  <c r="D7" i="9"/>
  <c r="F6" i="9"/>
  <c r="E6" i="9"/>
  <c r="D6" i="9"/>
  <c r="F5" i="9"/>
  <c r="E5" i="9"/>
  <c r="E1" i="9"/>
  <c r="C1" i="9"/>
  <c r="C17" i="8"/>
  <c r="C16" i="8"/>
  <c r="C15" i="8"/>
  <c r="C14" i="8"/>
  <c r="C13" i="8"/>
  <c r="C12" i="8"/>
  <c r="C10" i="8"/>
  <c r="C11" i="8"/>
  <c r="C9" i="8"/>
  <c r="C8" i="8"/>
  <c r="C7" i="8"/>
  <c r="C6" i="8"/>
  <c r="C5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7" i="8"/>
  <c r="E7" i="8"/>
  <c r="F6" i="8"/>
  <c r="E6" i="8"/>
  <c r="F5" i="8"/>
  <c r="E5" i="8"/>
  <c r="E1" i="8"/>
  <c r="C1" i="8"/>
  <c r="H15" i="8" l="1"/>
  <c r="I15" i="8" s="1"/>
  <c r="K15" i="8" s="1"/>
  <c r="H13" i="9"/>
  <c r="I13" i="9" s="1"/>
  <c r="K13" i="9" s="1"/>
  <c r="H9" i="9"/>
  <c r="I9" i="9" s="1"/>
  <c r="K9" i="9" s="1"/>
  <c r="H17" i="9"/>
  <c r="I17" i="9" s="1"/>
  <c r="K17" i="9" s="1"/>
  <c r="H14" i="8"/>
  <c r="I14" i="8" s="1"/>
  <c r="K14" i="8" s="1"/>
  <c r="H11" i="8"/>
  <c r="I11" i="8" s="1"/>
  <c r="K11" i="8" s="1"/>
  <c r="H10" i="8"/>
  <c r="I10" i="8" s="1"/>
  <c r="K10" i="8" s="1"/>
  <c r="H15" i="9"/>
  <c r="I15" i="9" s="1"/>
  <c r="K15" i="9" s="1"/>
  <c r="H6" i="9"/>
  <c r="I6" i="9" s="1"/>
  <c r="K6" i="9" s="1"/>
  <c r="H10" i="9"/>
  <c r="I10" i="9" s="1"/>
  <c r="K10" i="9" s="1"/>
  <c r="H14" i="9"/>
  <c r="I14" i="9" s="1"/>
  <c r="K14" i="9" s="1"/>
  <c r="H16" i="9"/>
  <c r="I16" i="9" s="1"/>
  <c r="K16" i="9" s="1"/>
  <c r="H12" i="9"/>
  <c r="I12" i="9" s="1"/>
  <c r="K12" i="9" s="1"/>
  <c r="H11" i="9"/>
  <c r="I11" i="9" s="1"/>
  <c r="K11" i="9" s="1"/>
  <c r="H8" i="9"/>
  <c r="I8" i="9" s="1"/>
  <c r="K8" i="9" s="1"/>
  <c r="H7" i="9"/>
  <c r="I7" i="9" s="1"/>
  <c r="K7" i="9" s="1"/>
  <c r="H5" i="9"/>
  <c r="I5" i="9" s="1"/>
  <c r="K5" i="9" s="1"/>
  <c r="H7" i="8"/>
  <c r="I7" i="8" s="1"/>
  <c r="K7" i="8" s="1"/>
  <c r="H5" i="8"/>
  <c r="I5" i="8" s="1"/>
  <c r="K5" i="8" s="1"/>
  <c r="H8" i="8"/>
  <c r="I8" i="8" s="1"/>
  <c r="K8" i="8" s="1"/>
  <c r="H9" i="8"/>
  <c r="I9" i="8" s="1"/>
  <c r="K9" i="8" s="1"/>
  <c r="H12" i="8"/>
  <c r="I12" i="8" s="1"/>
  <c r="K12" i="8" s="1"/>
  <c r="H13" i="8"/>
  <c r="I13" i="8" s="1"/>
  <c r="K13" i="8" s="1"/>
  <c r="H16" i="8"/>
  <c r="I16" i="8" s="1"/>
  <c r="K16" i="8" s="1"/>
  <c r="H17" i="8"/>
  <c r="I17" i="8" s="1"/>
  <c r="K17" i="8" s="1"/>
  <c r="H6" i="8"/>
  <c r="I6" i="8" s="1"/>
  <c r="K6" i="8" s="1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G17" i="7"/>
  <c r="F17" i="7"/>
  <c r="E17" i="7"/>
  <c r="D17" i="7"/>
  <c r="G16" i="7"/>
  <c r="F16" i="7"/>
  <c r="E16" i="7"/>
  <c r="D16" i="7"/>
  <c r="G15" i="7"/>
  <c r="F15" i="7"/>
  <c r="E15" i="7"/>
  <c r="D15" i="7"/>
  <c r="G14" i="7"/>
  <c r="F14" i="7"/>
  <c r="E14" i="7"/>
  <c r="D14" i="7"/>
  <c r="G13" i="7"/>
  <c r="F13" i="7"/>
  <c r="E13" i="7"/>
  <c r="D13" i="7"/>
  <c r="G12" i="7"/>
  <c r="F12" i="7"/>
  <c r="E12" i="7"/>
  <c r="D12" i="7"/>
  <c r="G11" i="7"/>
  <c r="F11" i="7"/>
  <c r="E11" i="7"/>
  <c r="D11" i="7"/>
  <c r="G10" i="7"/>
  <c r="F10" i="7"/>
  <c r="E10" i="7"/>
  <c r="D10" i="7"/>
  <c r="G9" i="7"/>
  <c r="F9" i="7"/>
  <c r="E9" i="7"/>
  <c r="D9" i="7"/>
  <c r="G8" i="7"/>
  <c r="F8" i="7"/>
  <c r="E8" i="7"/>
  <c r="D8" i="7"/>
  <c r="G7" i="7"/>
  <c r="F7" i="7"/>
  <c r="E7" i="7"/>
  <c r="D7" i="7"/>
  <c r="G6" i="7"/>
  <c r="F6" i="7"/>
  <c r="E6" i="7"/>
  <c r="D6" i="7"/>
  <c r="G5" i="7"/>
  <c r="F5" i="7"/>
  <c r="E5" i="7"/>
  <c r="D5" i="7"/>
  <c r="E1" i="7"/>
  <c r="C1" i="7"/>
  <c r="H5" i="7" l="1"/>
  <c r="I5" i="7" s="1"/>
  <c r="K5" i="7" s="1"/>
  <c r="H6" i="7"/>
  <c r="I6" i="7" s="1"/>
  <c r="K6" i="7" s="1"/>
  <c r="H7" i="7"/>
  <c r="I7" i="7" s="1"/>
  <c r="K7" i="7" s="1"/>
  <c r="H8" i="7"/>
  <c r="I8" i="7" s="1"/>
  <c r="K8" i="7" s="1"/>
  <c r="H10" i="7"/>
  <c r="I10" i="7" s="1"/>
  <c r="K10" i="7" s="1"/>
  <c r="H11" i="7"/>
  <c r="I11" i="7" s="1"/>
  <c r="K11" i="7" s="1"/>
  <c r="H12" i="7"/>
  <c r="I12" i="7" s="1"/>
  <c r="K12" i="7" s="1"/>
  <c r="H13" i="7"/>
  <c r="I13" i="7" s="1"/>
  <c r="K13" i="7" s="1"/>
  <c r="H14" i="7"/>
  <c r="I14" i="7" s="1"/>
  <c r="K14" i="7" s="1"/>
  <c r="H15" i="7"/>
  <c r="I15" i="7" s="1"/>
  <c r="K15" i="7" s="1"/>
  <c r="H16" i="7"/>
  <c r="I16" i="7" s="1"/>
  <c r="K16" i="7" s="1"/>
  <c r="H17" i="7"/>
  <c r="I17" i="7" s="1"/>
  <c r="K17" i="7" s="1"/>
  <c r="H9" i="7"/>
  <c r="I9" i="7" s="1"/>
  <c r="K9" i="7" s="1"/>
  <c r="C17" i="1" l="1"/>
  <c r="C16" i="1"/>
  <c r="C15" i="1"/>
  <c r="C14" i="1"/>
  <c r="C13" i="1"/>
  <c r="C12" i="1"/>
  <c r="C11" i="1"/>
  <c r="C10" i="1"/>
  <c r="C8" i="1"/>
  <c r="C7" i="1"/>
  <c r="C6" i="1"/>
  <c r="C5" i="1"/>
  <c r="G17" i="1" l="1"/>
  <c r="G16" i="1"/>
  <c r="G15" i="1"/>
  <c r="G14" i="1"/>
  <c r="G13" i="1"/>
  <c r="G12" i="1"/>
  <c r="G11" i="1"/>
  <c r="G10" i="1"/>
  <c r="G9" i="1"/>
  <c r="G8" i="1"/>
  <c r="G7" i="1"/>
  <c r="G6" i="1"/>
  <c r="G5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E1" i="1"/>
  <c r="C1" i="1"/>
  <c r="H19" i="1" l="1"/>
  <c r="I19" i="1" s="1"/>
  <c r="K19" i="1" s="1"/>
  <c r="H17" i="1" l="1"/>
  <c r="H17" i="11" l="1"/>
  <c r="H36" i="11"/>
  <c r="H9" i="1"/>
  <c r="H13" i="1"/>
  <c r="H18" i="1"/>
  <c r="I18" i="1" s="1"/>
  <c r="K18" i="1" s="1"/>
  <c r="I17" i="1"/>
  <c r="K17" i="1" s="1"/>
  <c r="H14" i="1"/>
  <c r="H15" i="1"/>
  <c r="H11" i="1"/>
  <c r="H10" i="1"/>
  <c r="H7" i="1"/>
  <c r="H6" i="1"/>
  <c r="H16" i="1"/>
  <c r="H12" i="1"/>
  <c r="H8" i="1"/>
  <c r="H5" i="1"/>
  <c r="H8" i="11" l="1"/>
  <c r="H27" i="11"/>
  <c r="H33" i="11"/>
  <c r="H14" i="11"/>
  <c r="H16" i="11"/>
  <c r="H35" i="11"/>
  <c r="H6" i="11"/>
  <c r="H25" i="11"/>
  <c r="H9" i="11"/>
  <c r="H28" i="11"/>
  <c r="H34" i="11"/>
  <c r="H15" i="11"/>
  <c r="H12" i="11"/>
  <c r="H31" i="11"/>
  <c r="H13" i="11"/>
  <c r="H32" i="11"/>
  <c r="H5" i="11"/>
  <c r="H24" i="11"/>
  <c r="I5" i="1"/>
  <c r="K5" i="1" s="1"/>
  <c r="H7" i="11"/>
  <c r="H26" i="11"/>
  <c r="H29" i="11"/>
  <c r="H10" i="11"/>
  <c r="H30" i="11"/>
  <c r="H11" i="11"/>
  <c r="I7" i="1"/>
  <c r="K7" i="1" s="1"/>
  <c r="I9" i="1"/>
  <c r="K9" i="1" s="1"/>
  <c r="I10" i="1"/>
  <c r="K10" i="1" s="1"/>
  <c r="I11" i="1"/>
  <c r="K11" i="1" s="1"/>
  <c r="I15" i="1"/>
  <c r="K15" i="1" s="1"/>
  <c r="I8" i="1"/>
  <c r="K8" i="1" s="1"/>
  <c r="I14" i="1"/>
  <c r="K14" i="1" s="1"/>
  <c r="I12" i="1"/>
  <c r="K12" i="1" s="1"/>
  <c r="I16" i="1"/>
  <c r="K16" i="1" s="1"/>
  <c r="I6" i="1"/>
  <c r="K6" i="1" s="1"/>
  <c r="I13" i="1"/>
  <c r="K13" i="1" s="1"/>
  <c r="H37" i="11" l="1"/>
  <c r="H38" i="11" s="1"/>
  <c r="H18" i="11"/>
  <c r="H19" i="11" s="1"/>
</calcChain>
</file>

<file path=xl/sharedStrings.xml><?xml version="1.0" encoding="utf-8"?>
<sst xmlns="http://schemas.openxmlformats.org/spreadsheetml/2006/main" count="383" uniqueCount="114">
  <si>
    <t>市場単価</t>
    <rPh sb="0" eb="2">
      <t>シジョウ</t>
    </rPh>
    <rPh sb="2" eb="4">
      <t>タンカ</t>
    </rPh>
    <phoneticPr fontId="2"/>
  </si>
  <si>
    <t>単位</t>
    <rPh sb="0" eb="2">
      <t>タンイ</t>
    </rPh>
    <phoneticPr fontId="2"/>
  </si>
  <si>
    <t>材料費</t>
    <rPh sb="0" eb="3">
      <t>ザイリョウヒ</t>
    </rPh>
    <phoneticPr fontId="2"/>
  </si>
  <si>
    <t>施工費</t>
    <rPh sb="0" eb="2">
      <t>セコウ</t>
    </rPh>
    <rPh sb="2" eb="3">
      <t>ヒ</t>
    </rPh>
    <phoneticPr fontId="2"/>
  </si>
  <si>
    <t>白</t>
    <rPh sb="0" eb="1">
      <t>シロ</t>
    </rPh>
    <phoneticPr fontId="2"/>
  </si>
  <si>
    <t>ビーズ</t>
    <phoneticPr fontId="2"/>
  </si>
  <si>
    <t>プライマー</t>
    <phoneticPr fontId="2"/>
  </si>
  <si>
    <t>諸雑費</t>
    <rPh sb="0" eb="1">
      <t>ショ</t>
    </rPh>
    <rPh sb="1" eb="3">
      <t>ザッピ</t>
    </rPh>
    <phoneticPr fontId="2"/>
  </si>
  <si>
    <t>合計</t>
    <rPh sb="0" eb="2">
      <t>ゴウケイ</t>
    </rPh>
    <phoneticPr fontId="2"/>
  </si>
  <si>
    <t>上昇率</t>
    <rPh sb="0" eb="2">
      <t>ジョウショウ</t>
    </rPh>
    <rPh sb="2" eb="3">
      <t>リツ</t>
    </rPh>
    <phoneticPr fontId="2"/>
  </si>
  <si>
    <t>区画線土木市場単価</t>
    <rPh sb="0" eb="3">
      <t>クカクセン</t>
    </rPh>
    <rPh sb="3" eb="5">
      <t>ドボク</t>
    </rPh>
    <rPh sb="5" eb="7">
      <t>シジョウ</t>
    </rPh>
    <rPh sb="7" eb="9">
      <t>タンカ</t>
    </rPh>
    <phoneticPr fontId="2"/>
  </si>
  <si>
    <t>土木コスト情報</t>
    <rPh sb="0" eb="2">
      <t>ドボク</t>
    </rPh>
    <rPh sb="5" eb="7">
      <t>ジョウホウ</t>
    </rPh>
    <phoneticPr fontId="2"/>
  </si>
  <si>
    <t>ｍ</t>
    <phoneticPr fontId="2"/>
  </si>
  <si>
    <t>燃料</t>
    <rPh sb="0" eb="2">
      <t>ネンリョウ</t>
    </rPh>
    <phoneticPr fontId="2"/>
  </si>
  <si>
    <t>工種</t>
    <rPh sb="0" eb="1">
      <t>コウ</t>
    </rPh>
    <rPh sb="1" eb="2">
      <t>タネ</t>
    </rPh>
    <phoneticPr fontId="2"/>
  </si>
  <si>
    <t>溶融手動　実線15㎝</t>
    <rPh sb="0" eb="2">
      <t>ヨウユウ</t>
    </rPh>
    <rPh sb="2" eb="4">
      <t>シュドウ</t>
    </rPh>
    <rPh sb="5" eb="7">
      <t>ジッセン</t>
    </rPh>
    <phoneticPr fontId="2"/>
  </si>
  <si>
    <t>溶融手動　実線20㎝</t>
    <rPh sb="0" eb="2">
      <t>ヨウユウ</t>
    </rPh>
    <rPh sb="2" eb="4">
      <t>シュドウ</t>
    </rPh>
    <rPh sb="5" eb="7">
      <t>ジッセン</t>
    </rPh>
    <phoneticPr fontId="2"/>
  </si>
  <si>
    <t>溶融手動　実線30㎝</t>
    <rPh sb="0" eb="2">
      <t>ヨウユウ</t>
    </rPh>
    <rPh sb="2" eb="4">
      <t>シュドウ</t>
    </rPh>
    <rPh sb="5" eb="7">
      <t>ジッセン</t>
    </rPh>
    <phoneticPr fontId="2"/>
  </si>
  <si>
    <t>溶融手動　実線45㎝</t>
    <rPh sb="0" eb="2">
      <t>ヨウユウ</t>
    </rPh>
    <rPh sb="2" eb="4">
      <t>シュドウ</t>
    </rPh>
    <rPh sb="5" eb="7">
      <t>ジッセン</t>
    </rPh>
    <phoneticPr fontId="2"/>
  </si>
  <si>
    <t>溶融手動　破線15㎝</t>
    <rPh sb="0" eb="2">
      <t>ヨウユウ</t>
    </rPh>
    <rPh sb="2" eb="4">
      <t>シュドウ</t>
    </rPh>
    <rPh sb="5" eb="7">
      <t>ハセン</t>
    </rPh>
    <phoneticPr fontId="2"/>
  </si>
  <si>
    <t>溶融手動　破線20㎝</t>
    <rPh sb="0" eb="2">
      <t>ヨウユウ</t>
    </rPh>
    <rPh sb="2" eb="4">
      <t>シュドウ</t>
    </rPh>
    <phoneticPr fontId="2"/>
  </si>
  <si>
    <t>溶融手動　破線30㎝</t>
    <rPh sb="0" eb="2">
      <t>ヨウユウ</t>
    </rPh>
    <rPh sb="2" eb="4">
      <t>シュドウ</t>
    </rPh>
    <phoneticPr fontId="2"/>
  </si>
  <si>
    <t>溶融手動　破線45㎝</t>
    <rPh sb="0" eb="2">
      <t>ヨウユウ</t>
    </rPh>
    <rPh sb="2" eb="4">
      <t>シュドウ</t>
    </rPh>
    <phoneticPr fontId="2"/>
  </si>
  <si>
    <t>溶融手動　ゼブラ15㎝</t>
    <rPh sb="0" eb="2">
      <t>ヨウユウ</t>
    </rPh>
    <rPh sb="2" eb="4">
      <t>シュドウ</t>
    </rPh>
    <phoneticPr fontId="2"/>
  </si>
  <si>
    <t>溶融手動　ゼブラ20㎝</t>
    <rPh sb="0" eb="2">
      <t>ヨウユウ</t>
    </rPh>
    <rPh sb="2" eb="4">
      <t>シュドウ</t>
    </rPh>
    <phoneticPr fontId="2"/>
  </si>
  <si>
    <t>溶融手動　ゼブラ30㎝</t>
    <rPh sb="0" eb="2">
      <t>ヨウユウ</t>
    </rPh>
    <rPh sb="2" eb="4">
      <t>シュドウ</t>
    </rPh>
    <phoneticPr fontId="2"/>
  </si>
  <si>
    <t>溶融手動　ゼブラ45㎝</t>
    <rPh sb="0" eb="2">
      <t>ヨウユウ</t>
    </rPh>
    <rPh sb="2" eb="4">
      <t>シュドウ</t>
    </rPh>
    <phoneticPr fontId="2"/>
  </si>
  <si>
    <t>溶融手動　文字記号15㎝</t>
    <rPh sb="0" eb="2">
      <t>ヨウユウ</t>
    </rPh>
    <rPh sb="2" eb="4">
      <t>シュドウ</t>
    </rPh>
    <rPh sb="5" eb="7">
      <t>モジ</t>
    </rPh>
    <rPh sb="7" eb="9">
      <t>キゴウ</t>
    </rPh>
    <phoneticPr fontId="2"/>
  </si>
  <si>
    <t>一式　200ｍの場合</t>
    <rPh sb="0" eb="2">
      <t>イッシキ</t>
    </rPh>
    <rPh sb="8" eb="10">
      <t>バアイ</t>
    </rPh>
    <phoneticPr fontId="2"/>
  </si>
  <si>
    <t>一式　500ｍの場合</t>
    <rPh sb="0" eb="2">
      <t>イッシキ</t>
    </rPh>
    <rPh sb="8" eb="10">
      <t>バアイ</t>
    </rPh>
    <phoneticPr fontId="2"/>
  </si>
  <si>
    <t>土木工事標準単価　一覧表作成</t>
    <rPh sb="0" eb="2">
      <t>ドボク</t>
    </rPh>
    <rPh sb="2" eb="4">
      <t>コウジ</t>
    </rPh>
    <rPh sb="4" eb="6">
      <t>ヒョウジュン</t>
    </rPh>
    <rPh sb="6" eb="8">
      <t>タンカ</t>
    </rPh>
    <rPh sb="9" eb="11">
      <t>イチラン</t>
    </rPh>
    <rPh sb="11" eb="12">
      <t>ヒョウ</t>
    </rPh>
    <rPh sb="12" eb="14">
      <t>サクセイ</t>
    </rPh>
    <phoneticPr fontId="2"/>
  </si>
  <si>
    <t>都道府県</t>
    <rPh sb="0" eb="4">
      <t>トドウフケン</t>
    </rPh>
    <phoneticPr fontId="2"/>
  </si>
  <si>
    <t>東京</t>
    <rPh sb="0" eb="2">
      <t>トウキョウ</t>
    </rPh>
    <phoneticPr fontId="2"/>
  </si>
  <si>
    <t>実線</t>
    <rPh sb="0" eb="2">
      <t>ジッセン</t>
    </rPh>
    <phoneticPr fontId="2"/>
  </si>
  <si>
    <t>15㎝</t>
    <phoneticPr fontId="2"/>
  </si>
  <si>
    <t>無</t>
    <rPh sb="0" eb="1">
      <t>ナシ</t>
    </rPh>
    <phoneticPr fontId="2"/>
  </si>
  <si>
    <t>受ける</t>
    <rPh sb="0" eb="1">
      <t>ウ</t>
    </rPh>
    <phoneticPr fontId="2"/>
  </si>
  <si>
    <t>著しく受ける</t>
    <rPh sb="0" eb="1">
      <t>イチジル</t>
    </rPh>
    <rPh sb="3" eb="4">
      <t>ウ</t>
    </rPh>
    <phoneticPr fontId="2"/>
  </si>
  <si>
    <t>20㎝</t>
    <phoneticPr fontId="2"/>
  </si>
  <si>
    <t>30㎝</t>
    <phoneticPr fontId="2"/>
  </si>
  <si>
    <t>45㎝</t>
    <phoneticPr fontId="2"/>
  </si>
  <si>
    <t>建設物価調査会</t>
    <rPh sb="0" eb="2">
      <t>ケンセツ</t>
    </rPh>
    <rPh sb="2" eb="4">
      <t>ブッカ</t>
    </rPh>
    <rPh sb="4" eb="7">
      <t>チョウサカイ</t>
    </rPh>
    <phoneticPr fontId="2"/>
  </si>
  <si>
    <t>建設物価から入力</t>
    <rPh sb="0" eb="2">
      <t>ケンセツ</t>
    </rPh>
    <rPh sb="2" eb="4">
      <t>ブッカ</t>
    </rPh>
    <rPh sb="6" eb="8">
      <t>ニュウリョク</t>
    </rPh>
    <phoneticPr fontId="2"/>
  </si>
  <si>
    <t>（P198）</t>
    <phoneticPr fontId="2"/>
  </si>
  <si>
    <t>路面標示用塗料3種1号</t>
    <rPh sb="0" eb="2">
      <t>ロメン</t>
    </rPh>
    <rPh sb="2" eb="4">
      <t>ヒョウジ</t>
    </rPh>
    <rPh sb="4" eb="5">
      <t>ヨウ</t>
    </rPh>
    <rPh sb="5" eb="7">
      <t>トリョウ</t>
    </rPh>
    <rPh sb="8" eb="9">
      <t>シュ</t>
    </rPh>
    <rPh sb="10" eb="11">
      <t>ゴウ</t>
    </rPh>
    <phoneticPr fontId="2"/>
  </si>
  <si>
    <t>接着用プライマー</t>
    <rPh sb="0" eb="3">
      <t>セッチャクヨウ</t>
    </rPh>
    <phoneticPr fontId="2"/>
  </si>
  <si>
    <t>ガラスビーズ</t>
    <phoneticPr fontId="2"/>
  </si>
  <si>
    <t>（P198）</t>
    <phoneticPr fontId="2"/>
  </si>
  <si>
    <t>（P770）</t>
    <phoneticPr fontId="2"/>
  </si>
  <si>
    <t>軽油</t>
    <rPh sb="0" eb="2">
      <t>ケイユ</t>
    </rPh>
    <phoneticPr fontId="2"/>
  </si>
  <si>
    <t>破線</t>
    <rPh sb="0" eb="2">
      <t>ハセン</t>
    </rPh>
    <phoneticPr fontId="2"/>
  </si>
  <si>
    <t>豪雪補正なし</t>
    <rPh sb="0" eb="2">
      <t>ゴウセツ</t>
    </rPh>
    <rPh sb="2" eb="4">
      <t>ホセイ</t>
    </rPh>
    <phoneticPr fontId="2"/>
  </si>
  <si>
    <t>ゼブラ</t>
    <phoneticPr fontId="2"/>
  </si>
  <si>
    <t>矢印・記号・文字</t>
    <rPh sb="0" eb="2">
      <t>ヤジルシ</t>
    </rPh>
    <rPh sb="3" eb="5">
      <t>キゴウ</t>
    </rPh>
    <rPh sb="6" eb="8">
      <t>モジ</t>
    </rPh>
    <phoneticPr fontId="2"/>
  </si>
  <si>
    <t>時間制約なし・夜間</t>
    <rPh sb="0" eb="2">
      <t>ジカン</t>
    </rPh>
    <rPh sb="2" eb="4">
      <t>セイヤク</t>
    </rPh>
    <rPh sb="7" eb="9">
      <t>ヤカン</t>
    </rPh>
    <phoneticPr fontId="2"/>
  </si>
  <si>
    <t>時間制約なし・昼間</t>
    <rPh sb="0" eb="2">
      <t>ジカン</t>
    </rPh>
    <rPh sb="2" eb="4">
      <t>セイヤク</t>
    </rPh>
    <rPh sb="7" eb="9">
      <t>チュウカン</t>
    </rPh>
    <phoneticPr fontId="2"/>
  </si>
  <si>
    <t>時間制約なし・昼間・排水性舗装</t>
    <rPh sb="0" eb="2">
      <t>ジカン</t>
    </rPh>
    <rPh sb="2" eb="4">
      <t>セイヤク</t>
    </rPh>
    <rPh sb="7" eb="9">
      <t>チュウカン</t>
    </rPh>
    <rPh sb="10" eb="13">
      <t>ハイスイセイ</t>
    </rPh>
    <rPh sb="13" eb="15">
      <t>ホソウ</t>
    </rPh>
    <phoneticPr fontId="2"/>
  </si>
  <si>
    <t>時間制約なし・昼間・未供用</t>
    <rPh sb="0" eb="2">
      <t>ジカン</t>
    </rPh>
    <rPh sb="2" eb="4">
      <t>セイヤク</t>
    </rPh>
    <rPh sb="7" eb="9">
      <t>チュウカン</t>
    </rPh>
    <rPh sb="10" eb="11">
      <t>ミ</t>
    </rPh>
    <rPh sb="11" eb="13">
      <t>キョウヨウ</t>
    </rPh>
    <phoneticPr fontId="2"/>
  </si>
  <si>
    <t>路面標示用塗料1種A</t>
    <rPh sb="0" eb="2">
      <t>ロメン</t>
    </rPh>
    <rPh sb="2" eb="4">
      <t>ヒョウジ</t>
    </rPh>
    <rPh sb="4" eb="5">
      <t>ヨウ</t>
    </rPh>
    <rPh sb="5" eb="7">
      <t>トリョウ</t>
    </rPh>
    <rPh sb="8" eb="9">
      <t>シュ</t>
    </rPh>
    <phoneticPr fontId="2"/>
  </si>
  <si>
    <t>路面標示用塗料2種A</t>
    <rPh sb="0" eb="2">
      <t>ロメン</t>
    </rPh>
    <rPh sb="2" eb="4">
      <t>ヒョウジ</t>
    </rPh>
    <rPh sb="4" eb="5">
      <t>ヨウ</t>
    </rPh>
    <rPh sb="5" eb="7">
      <t>トリョウ</t>
    </rPh>
    <rPh sb="8" eb="9">
      <t>シュ</t>
    </rPh>
    <phoneticPr fontId="2"/>
  </si>
  <si>
    <t>削り取り式</t>
    <rPh sb="0" eb="1">
      <t>ケズ</t>
    </rPh>
    <rPh sb="2" eb="3">
      <t>ト</t>
    </rPh>
    <rPh sb="4" eb="5">
      <t>シキ</t>
    </rPh>
    <phoneticPr fontId="2"/>
  </si>
  <si>
    <t>15㎝換算</t>
    <rPh sb="3" eb="5">
      <t>カンサン</t>
    </rPh>
    <phoneticPr fontId="2"/>
  </si>
  <si>
    <t>ウォータージェット式</t>
    <rPh sb="9" eb="10">
      <t>シキ</t>
    </rPh>
    <phoneticPr fontId="2"/>
  </si>
  <si>
    <t>ペイント・消去・時間制約なし</t>
    <rPh sb="5" eb="7">
      <t>ショウキョ</t>
    </rPh>
    <rPh sb="8" eb="10">
      <t>ジカン</t>
    </rPh>
    <rPh sb="10" eb="12">
      <t>セイヤク</t>
    </rPh>
    <phoneticPr fontId="2"/>
  </si>
  <si>
    <t>ペイント手動　実線15㎝加熱式</t>
    <rPh sb="4" eb="6">
      <t>シュドウ</t>
    </rPh>
    <rPh sb="7" eb="9">
      <t>ジッセン</t>
    </rPh>
    <rPh sb="12" eb="14">
      <t>カネツ</t>
    </rPh>
    <rPh sb="14" eb="15">
      <t>シキ</t>
    </rPh>
    <phoneticPr fontId="2"/>
  </si>
  <si>
    <t>ペイント手動　破線15㎝加熱式</t>
    <rPh sb="4" eb="6">
      <t>シュドウ</t>
    </rPh>
    <rPh sb="7" eb="9">
      <t>ハセン</t>
    </rPh>
    <rPh sb="12" eb="14">
      <t>カネツ</t>
    </rPh>
    <rPh sb="14" eb="15">
      <t>シキ</t>
    </rPh>
    <phoneticPr fontId="2"/>
  </si>
  <si>
    <t>ペイント手動　破線30㎝加熱式</t>
    <rPh sb="4" eb="6">
      <t>シュドウ</t>
    </rPh>
    <rPh sb="7" eb="9">
      <t>ハセン</t>
    </rPh>
    <rPh sb="12" eb="14">
      <t>カネツ</t>
    </rPh>
    <rPh sb="14" eb="15">
      <t>シキ</t>
    </rPh>
    <phoneticPr fontId="2"/>
  </si>
  <si>
    <t>ペイント手動　実線15㎝常温式</t>
    <rPh sb="4" eb="6">
      <t>シュドウ</t>
    </rPh>
    <rPh sb="7" eb="9">
      <t>ジッセン</t>
    </rPh>
    <rPh sb="12" eb="14">
      <t>ジョウオン</t>
    </rPh>
    <rPh sb="14" eb="15">
      <t>シキ</t>
    </rPh>
    <phoneticPr fontId="2"/>
  </si>
  <si>
    <t>ペイント手動　破線15㎝常温式</t>
    <rPh sb="4" eb="6">
      <t>シュドウ</t>
    </rPh>
    <rPh sb="7" eb="9">
      <t>ハセン</t>
    </rPh>
    <rPh sb="12" eb="14">
      <t>ジョウオン</t>
    </rPh>
    <rPh sb="14" eb="15">
      <t>シキ</t>
    </rPh>
    <phoneticPr fontId="2"/>
  </si>
  <si>
    <t>ペイント手動　破線30㎝常温式</t>
    <rPh sb="4" eb="6">
      <t>シュドウ</t>
    </rPh>
    <rPh sb="7" eb="9">
      <t>ハセン</t>
    </rPh>
    <rPh sb="12" eb="14">
      <t>ジョウオン</t>
    </rPh>
    <rPh sb="14" eb="15">
      <t>シキ</t>
    </rPh>
    <phoneticPr fontId="2"/>
  </si>
  <si>
    <t>ガソリン</t>
    <phoneticPr fontId="2"/>
  </si>
  <si>
    <t>ガソリン</t>
    <phoneticPr fontId="2"/>
  </si>
  <si>
    <t>未記載</t>
    <rPh sb="0" eb="3">
      <t>ミキサイ</t>
    </rPh>
    <phoneticPr fontId="2"/>
  </si>
  <si>
    <t>削り取り式　15㎝換算</t>
    <rPh sb="0" eb="1">
      <t>ケズ</t>
    </rPh>
    <rPh sb="2" eb="3">
      <t>ト</t>
    </rPh>
    <rPh sb="4" eb="5">
      <t>シキ</t>
    </rPh>
    <rPh sb="9" eb="11">
      <t>カンサン</t>
    </rPh>
    <phoneticPr fontId="2"/>
  </si>
  <si>
    <t>ｳｫｰﾀｰｼﾞｪｯﾄ式　15㎝換算溶融</t>
    <rPh sb="10" eb="11">
      <t>シキ</t>
    </rPh>
    <rPh sb="15" eb="17">
      <t>カンサン</t>
    </rPh>
    <rPh sb="17" eb="19">
      <t>ヨウユウ</t>
    </rPh>
    <phoneticPr fontId="2"/>
  </si>
  <si>
    <t>15㎝換算溶融</t>
    <rPh sb="3" eb="5">
      <t>カンサン</t>
    </rPh>
    <rPh sb="5" eb="7">
      <t>ヨウユウ</t>
    </rPh>
    <phoneticPr fontId="2"/>
  </si>
  <si>
    <t>15㎝換算ペイント</t>
    <rPh sb="3" eb="5">
      <t>カンサン</t>
    </rPh>
    <phoneticPr fontId="2"/>
  </si>
  <si>
    <t>ｳｫｰﾀｰｼﾞｪｯﾄ式　15㎝換算ペイント</t>
    <rPh sb="10" eb="11">
      <t>シキ</t>
    </rPh>
    <rPh sb="15" eb="17">
      <t>カンサン</t>
    </rPh>
    <phoneticPr fontId="2"/>
  </si>
  <si>
    <t>ｍ</t>
    <phoneticPr fontId="2"/>
  </si>
  <si>
    <t>ビーズ</t>
    <phoneticPr fontId="2"/>
  </si>
  <si>
    <t>ｳｫｰﾀｰｼﾞｪｯﾄ式　15㎝換算溶融600ｍ未満</t>
    <rPh sb="10" eb="11">
      <t>シキ</t>
    </rPh>
    <rPh sb="15" eb="17">
      <t>カンサン</t>
    </rPh>
    <rPh sb="17" eb="19">
      <t>ヨウユウ</t>
    </rPh>
    <rPh sb="23" eb="25">
      <t>ミマン</t>
    </rPh>
    <phoneticPr fontId="2"/>
  </si>
  <si>
    <t>ｳｫｰﾀｰｼﾞｪｯﾄ式　15㎝換算ペイント700ｍ未満</t>
    <rPh sb="10" eb="11">
      <t>シキ</t>
    </rPh>
    <rPh sb="15" eb="17">
      <t>カンサン</t>
    </rPh>
    <rPh sb="25" eb="27">
      <t>ミマン</t>
    </rPh>
    <phoneticPr fontId="2"/>
  </si>
  <si>
    <t>この色のセルを転記してください</t>
    <rPh sb="2" eb="3">
      <t>イロ</t>
    </rPh>
    <rPh sb="7" eb="9">
      <t>テンキ</t>
    </rPh>
    <phoneticPr fontId="2"/>
  </si>
  <si>
    <t>日当り標準施工量</t>
    <rPh sb="0" eb="2">
      <t>ヒアタ</t>
    </rPh>
    <rPh sb="3" eb="5">
      <t>ヒョウジュン</t>
    </rPh>
    <rPh sb="5" eb="7">
      <t>セコウ</t>
    </rPh>
    <rPh sb="7" eb="8">
      <t>リョウ</t>
    </rPh>
    <phoneticPr fontId="2"/>
  </si>
  <si>
    <t>実線</t>
    <rPh sb="0" eb="2">
      <t>ジッセン</t>
    </rPh>
    <phoneticPr fontId="2"/>
  </si>
  <si>
    <t>破線</t>
    <rPh sb="0" eb="2">
      <t>ハセン</t>
    </rPh>
    <phoneticPr fontId="2"/>
  </si>
  <si>
    <t>ゼブラ</t>
    <phoneticPr fontId="2"/>
  </si>
  <si>
    <t>文字記号</t>
    <rPh sb="0" eb="2">
      <t>モジ</t>
    </rPh>
    <rPh sb="2" eb="4">
      <t>キゴウ</t>
    </rPh>
    <phoneticPr fontId="2"/>
  </si>
  <si>
    <t>15㎝</t>
    <phoneticPr fontId="2"/>
  </si>
  <si>
    <t>20㎝</t>
    <phoneticPr fontId="2"/>
  </si>
  <si>
    <t>30㎝</t>
    <phoneticPr fontId="2"/>
  </si>
  <si>
    <t>45㎝</t>
    <phoneticPr fontId="2"/>
  </si>
  <si>
    <t>15㎝換算</t>
    <phoneticPr fontId="2"/>
  </si>
  <si>
    <t>一日未満で完了する作業の積算</t>
    <rPh sb="0" eb="2">
      <t>イチニチ</t>
    </rPh>
    <rPh sb="2" eb="4">
      <t>ミマン</t>
    </rPh>
    <rPh sb="5" eb="7">
      <t>カンリョウ</t>
    </rPh>
    <rPh sb="9" eb="11">
      <t>サギョウ</t>
    </rPh>
    <rPh sb="12" eb="14">
      <t>セキサン</t>
    </rPh>
    <phoneticPr fontId="2"/>
  </si>
  <si>
    <t>種別</t>
    <rPh sb="0" eb="2">
      <t>シュベツ</t>
    </rPh>
    <phoneticPr fontId="2"/>
  </si>
  <si>
    <t>日当り標準
施工量</t>
    <rPh sb="0" eb="2">
      <t>ヒアタ</t>
    </rPh>
    <rPh sb="3" eb="5">
      <t>ヒョウジュン</t>
    </rPh>
    <rPh sb="6" eb="8">
      <t>セコウ</t>
    </rPh>
    <rPh sb="8" eb="9">
      <t>リョウ</t>
    </rPh>
    <phoneticPr fontId="2"/>
  </si>
  <si>
    <t>施工数量
（実数を入力）</t>
    <rPh sb="0" eb="2">
      <t>セコウ</t>
    </rPh>
    <rPh sb="2" eb="4">
      <t>スウリョウ</t>
    </rPh>
    <rPh sb="6" eb="8">
      <t>ジッスウ</t>
    </rPh>
    <rPh sb="9" eb="11">
      <t>ニュウリョク</t>
    </rPh>
    <phoneticPr fontId="2"/>
  </si>
  <si>
    <t>比率</t>
    <rPh sb="0" eb="2">
      <t>ヒリツ</t>
    </rPh>
    <phoneticPr fontId="2"/>
  </si>
  <si>
    <t>α</t>
    <phoneticPr fontId="2"/>
  </si>
  <si>
    <t>修正日当り
標準施工量</t>
    <rPh sb="0" eb="2">
      <t>シュウセイ</t>
    </rPh>
    <rPh sb="2" eb="4">
      <t>ヒアタ</t>
    </rPh>
    <rPh sb="6" eb="8">
      <t>ヒョウジュン</t>
    </rPh>
    <rPh sb="8" eb="10">
      <t>セコウ</t>
    </rPh>
    <rPh sb="10" eb="11">
      <t>リョウ</t>
    </rPh>
    <phoneticPr fontId="2"/>
  </si>
  <si>
    <t>標準単価
（機・労）</t>
    <rPh sb="0" eb="2">
      <t>ヒョウジュン</t>
    </rPh>
    <rPh sb="2" eb="4">
      <t>タンカ</t>
    </rPh>
    <rPh sb="6" eb="7">
      <t>キ</t>
    </rPh>
    <rPh sb="8" eb="9">
      <t>ロウ</t>
    </rPh>
    <phoneticPr fontId="2"/>
  </si>
  <si>
    <t>材料費</t>
    <rPh sb="0" eb="2">
      <t>ザイリョウ</t>
    </rPh>
    <rPh sb="2" eb="3">
      <t>ヒ</t>
    </rPh>
    <phoneticPr fontId="2"/>
  </si>
  <si>
    <t>直接工事費</t>
    <rPh sb="0" eb="2">
      <t>チョクセツ</t>
    </rPh>
    <rPh sb="2" eb="5">
      <t>コウジヒ</t>
    </rPh>
    <phoneticPr fontId="2"/>
  </si>
  <si>
    <t>時間制約なし・昼間</t>
    <phoneticPr fontId="2"/>
  </si>
  <si>
    <t>【半日以上一日未満】</t>
    <rPh sb="1" eb="3">
      <t>ハンニチ</t>
    </rPh>
    <rPh sb="3" eb="5">
      <t>イジョウ</t>
    </rPh>
    <rPh sb="5" eb="7">
      <t>イチニチ</t>
    </rPh>
    <rPh sb="7" eb="9">
      <t>ミマン</t>
    </rPh>
    <phoneticPr fontId="2"/>
  </si>
  <si>
    <t>ここの数値で一日未満か半日以上一日未満かを判断↑</t>
    <rPh sb="3" eb="5">
      <t>スウチ</t>
    </rPh>
    <rPh sb="6" eb="8">
      <t>イチニチ</t>
    </rPh>
    <rPh sb="8" eb="10">
      <t>ミマン</t>
    </rPh>
    <rPh sb="21" eb="23">
      <t>ハンダン</t>
    </rPh>
    <phoneticPr fontId="2"/>
  </si>
  <si>
    <t>0.5未満の場合は下の表の金額です。</t>
    <rPh sb="3" eb="5">
      <t>ミマン</t>
    </rPh>
    <rPh sb="6" eb="8">
      <t>バアイ</t>
    </rPh>
    <rPh sb="9" eb="10">
      <t>シタ</t>
    </rPh>
    <rPh sb="11" eb="12">
      <t>ヒョウ</t>
    </rPh>
    <rPh sb="13" eb="15">
      <t>キンガク</t>
    </rPh>
    <phoneticPr fontId="2"/>
  </si>
  <si>
    <t>【半日未満】</t>
    <rPh sb="1" eb="3">
      <t>ハンニチ</t>
    </rPh>
    <rPh sb="3" eb="5">
      <t>ミマン</t>
    </rPh>
    <phoneticPr fontId="2"/>
  </si>
  <si>
    <t>施工数量</t>
    <rPh sb="0" eb="2">
      <t>セコウ</t>
    </rPh>
    <rPh sb="2" eb="4">
      <t>スウリョウ</t>
    </rPh>
    <phoneticPr fontId="2"/>
  </si>
  <si>
    <t>土木コスト情報から入力（P299）</t>
    <rPh sb="0" eb="2">
      <t>ドボク</t>
    </rPh>
    <rPh sb="5" eb="7">
      <t>ジョウホウ</t>
    </rPh>
    <rPh sb="9" eb="11">
      <t>ニュウリョク</t>
    </rPh>
    <phoneticPr fontId="2"/>
  </si>
  <si>
    <t>土木コスト情報から入力（P302）昼間</t>
    <rPh sb="0" eb="2">
      <t>ドボク</t>
    </rPh>
    <rPh sb="5" eb="7">
      <t>ジョウホウ</t>
    </rPh>
    <rPh sb="9" eb="11">
      <t>ニュウリョク</t>
    </rPh>
    <rPh sb="17" eb="19">
      <t>チュウカン</t>
    </rPh>
    <phoneticPr fontId="2"/>
  </si>
  <si>
    <t>土木コスト情報から入力（P312）夜間</t>
    <rPh sb="0" eb="2">
      <t>ドボク</t>
    </rPh>
    <rPh sb="5" eb="7">
      <t>ジョウホウ</t>
    </rPh>
    <rPh sb="9" eb="11">
      <t>ニュウリョク</t>
    </rPh>
    <rPh sb="17" eb="19">
      <t>ヤカン</t>
    </rPh>
    <phoneticPr fontId="2"/>
  </si>
  <si>
    <t>土木コスト情報から入力（P309）　ペイント式（車載式）</t>
    <rPh sb="0" eb="2">
      <t>ドボク</t>
    </rPh>
    <rPh sb="5" eb="7">
      <t>ジョウホウ</t>
    </rPh>
    <rPh sb="9" eb="11">
      <t>ニュウリョク</t>
    </rPh>
    <rPh sb="22" eb="23">
      <t>シキ</t>
    </rPh>
    <rPh sb="24" eb="26">
      <t>シャサイ</t>
    </rPh>
    <rPh sb="26" eb="27">
      <t>シキ</t>
    </rPh>
    <phoneticPr fontId="2"/>
  </si>
  <si>
    <t>土木コスト情報から入力（P311）区画線消去</t>
    <rPh sb="0" eb="2">
      <t>ドボク</t>
    </rPh>
    <rPh sb="5" eb="7">
      <t>ジョウホウ</t>
    </rPh>
    <rPh sb="9" eb="11">
      <t>ニュウリョク</t>
    </rPh>
    <rPh sb="17" eb="20">
      <t>クカクセン</t>
    </rPh>
    <rPh sb="20" eb="22">
      <t>ショウキョ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</si>
</sst>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38" fontId="0" fillId="0" borderId="0" xfId="1" applyFont="1" applyAlignment="1">
      <alignment vertical="center"/>
    </xf>
    <xf numFmtId="38" fontId="0" fillId="0" borderId="0" xfId="1" applyFont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0" fontId="0" fillId="0" borderId="1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176" fontId="0" fillId="2" borderId="16" xfId="0" applyNumberFormat="1" applyFill="1" applyBorder="1">
      <alignment vertical="center"/>
    </xf>
    <xf numFmtId="176" fontId="0" fillId="2" borderId="13" xfId="0" applyNumberFormat="1" applyFill="1" applyBorder="1">
      <alignment vertical="center"/>
    </xf>
    <xf numFmtId="176" fontId="0" fillId="2" borderId="14" xfId="0" applyNumberFormat="1" applyFill="1" applyBorder="1">
      <alignment vertical="center"/>
    </xf>
    <xf numFmtId="38" fontId="0" fillId="3" borderId="1" xfId="1" applyFont="1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176" fontId="0" fillId="2" borderId="22" xfId="0" applyNumberFormat="1" applyFill="1" applyBorder="1">
      <alignment vertical="center"/>
    </xf>
    <xf numFmtId="0" fontId="0" fillId="0" borderId="1" xfId="0" applyBorder="1" applyAlignment="1">
      <alignment horizontal="left" vertical="center" shrinkToFit="1"/>
    </xf>
    <xf numFmtId="38" fontId="0" fillId="3" borderId="1" xfId="1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2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0" xfId="1" applyFont="1" applyAlignment="1">
      <alignment horizontal="right" vertical="center"/>
    </xf>
    <xf numFmtId="38" fontId="0" fillId="0" borderId="0" xfId="1" applyFont="1" applyFill="1" applyBorder="1">
      <alignment vertical="center"/>
    </xf>
    <xf numFmtId="38" fontId="0" fillId="0" borderId="27" xfId="1" applyFont="1" applyBorder="1" applyAlignment="1">
      <alignment horizontal="center" vertical="center" wrapText="1"/>
    </xf>
    <xf numFmtId="38" fontId="0" fillId="0" borderId="28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27" xfId="1" applyFont="1" applyBorder="1">
      <alignment vertical="center"/>
    </xf>
    <xf numFmtId="177" fontId="0" fillId="4" borderId="30" xfId="0" applyNumberFormat="1" applyFill="1" applyBorder="1">
      <alignment vertical="center"/>
    </xf>
    <xf numFmtId="177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1" fontId="0" fillId="0" borderId="1" xfId="0" applyNumberFormat="1" applyBorder="1">
      <alignment vertical="center"/>
    </xf>
    <xf numFmtId="1" fontId="0" fillId="0" borderId="0" xfId="0" applyNumberFormat="1" applyFill="1" applyBorder="1">
      <alignment vertical="center"/>
    </xf>
    <xf numFmtId="38" fontId="0" fillId="4" borderId="23" xfId="1" applyFont="1" applyFill="1" applyBorder="1">
      <alignment vertical="center"/>
    </xf>
    <xf numFmtId="38" fontId="0" fillId="0" borderId="25" xfId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8" fontId="0" fillId="0" borderId="26" xfId="1" applyFont="1" applyBorder="1" applyAlignment="1">
      <alignment horizontal="center" vertical="center"/>
    </xf>
    <xf numFmtId="177" fontId="0" fillId="0" borderId="10" xfId="0" applyNumberFormat="1" applyBorder="1">
      <alignment vertical="center"/>
    </xf>
    <xf numFmtId="1" fontId="0" fillId="0" borderId="10" xfId="0" applyNumberFormat="1" applyBorder="1">
      <alignment vertical="center"/>
    </xf>
    <xf numFmtId="38" fontId="0" fillId="0" borderId="10" xfId="1" applyFont="1" applyBorder="1">
      <alignment vertical="center"/>
    </xf>
    <xf numFmtId="177" fontId="0" fillId="0" borderId="13" xfId="0" applyNumberFormat="1" applyBorder="1">
      <alignment vertical="center"/>
    </xf>
    <xf numFmtId="1" fontId="0" fillId="0" borderId="13" xfId="0" applyNumberFormat="1" applyBorder="1">
      <alignment vertical="center"/>
    </xf>
    <xf numFmtId="38" fontId="0" fillId="0" borderId="13" xfId="1" applyFont="1" applyBorder="1">
      <alignment vertical="center"/>
    </xf>
    <xf numFmtId="177" fontId="0" fillId="0" borderId="25" xfId="0" applyNumberFormat="1" applyBorder="1">
      <alignment vertical="center"/>
    </xf>
    <xf numFmtId="1" fontId="0" fillId="0" borderId="25" xfId="0" applyNumberFormat="1" applyBorder="1">
      <alignment vertical="center"/>
    </xf>
    <xf numFmtId="38" fontId="0" fillId="0" borderId="25" xfId="1" applyFont="1" applyBorder="1">
      <alignment vertical="center"/>
    </xf>
    <xf numFmtId="38" fontId="0" fillId="4" borderId="0" xfId="1" applyFont="1" applyFill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4" xfId="0" applyFill="1" applyBorder="1">
      <alignment vertical="center"/>
    </xf>
    <xf numFmtId="38" fontId="0" fillId="5" borderId="10" xfId="1" applyFont="1" applyFill="1" applyBorder="1" applyAlignment="1">
      <alignment horizontal="center" vertical="center"/>
    </xf>
    <xf numFmtId="38" fontId="0" fillId="5" borderId="1" xfId="1" applyFont="1" applyFill="1" applyBorder="1" applyAlignment="1">
      <alignment horizontal="center" vertical="center"/>
    </xf>
    <xf numFmtId="38" fontId="0" fillId="5" borderId="13" xfId="1" applyFont="1" applyFill="1" applyBorder="1" applyAlignment="1">
      <alignment horizontal="center" vertical="center"/>
    </xf>
    <xf numFmtId="38" fontId="0" fillId="5" borderId="25" xfId="1" applyFont="1" applyFill="1" applyBorder="1" applyAlignment="1">
      <alignment horizontal="center" vertical="center"/>
    </xf>
    <xf numFmtId="38" fontId="0" fillId="0" borderId="0" xfId="1" applyFont="1" applyAlignment="1">
      <alignment horizontal="left" vertical="center"/>
    </xf>
    <xf numFmtId="0" fontId="0" fillId="0" borderId="25" xfId="0" applyBorder="1" applyAlignment="1">
      <alignment horizontal="center" vertical="center"/>
    </xf>
    <xf numFmtId="38" fontId="0" fillId="0" borderId="31" xfId="1" applyFont="1" applyBorder="1">
      <alignment vertical="center"/>
    </xf>
    <xf numFmtId="0" fontId="6" fillId="0" borderId="0" xfId="0" applyFont="1" applyAlignment="1">
      <alignment horizontal="right" vertical="center"/>
    </xf>
    <xf numFmtId="38" fontId="0" fillId="0" borderId="2" xfId="1" applyFont="1" applyBorder="1">
      <alignment vertical="center"/>
    </xf>
    <xf numFmtId="177" fontId="0" fillId="0" borderId="2" xfId="0" applyNumberFormat="1" applyBorder="1">
      <alignment vertical="center"/>
    </xf>
    <xf numFmtId="1" fontId="0" fillId="0" borderId="2" xfId="0" applyNumberFormat="1" applyBorder="1">
      <alignment vertical="center"/>
    </xf>
    <xf numFmtId="38" fontId="0" fillId="0" borderId="35" xfId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25" xfId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workbookViewId="0">
      <selection activeCell="I7" sqref="I7"/>
    </sheetView>
  </sheetViews>
  <sheetFormatPr defaultRowHeight="18.75" x14ac:dyDescent="0.4"/>
  <cols>
    <col min="1" max="1" width="9.75" customWidth="1"/>
  </cols>
  <sheetData>
    <row r="1" spans="1:11" ht="24" x14ac:dyDescent="0.4">
      <c r="A1" s="29" t="s">
        <v>30</v>
      </c>
      <c r="F1" s="36" t="s">
        <v>82</v>
      </c>
      <c r="G1" s="36"/>
      <c r="H1" s="36"/>
      <c r="I1" s="36"/>
    </row>
    <row r="2" spans="1:11" x14ac:dyDescent="0.4">
      <c r="A2" s="35" t="s">
        <v>41</v>
      </c>
      <c r="B2" s="36"/>
    </row>
    <row r="4" spans="1:11" x14ac:dyDescent="0.4">
      <c r="A4" s="28" t="s">
        <v>42</v>
      </c>
    </row>
    <row r="5" spans="1:11" x14ac:dyDescent="0.4">
      <c r="A5" s="21" t="s">
        <v>43</v>
      </c>
      <c r="B5" s="25" t="s">
        <v>44</v>
      </c>
      <c r="C5" s="26"/>
      <c r="D5" s="27"/>
      <c r="E5" s="33">
        <v>160</v>
      </c>
    </row>
    <row r="6" spans="1:11" x14ac:dyDescent="0.4">
      <c r="A6" s="21" t="s">
        <v>47</v>
      </c>
      <c r="B6" s="25" t="s">
        <v>45</v>
      </c>
      <c r="C6" s="26"/>
      <c r="D6" s="27"/>
      <c r="E6" s="33">
        <v>360</v>
      </c>
    </row>
    <row r="7" spans="1:11" x14ac:dyDescent="0.4">
      <c r="A7" s="21" t="s">
        <v>47</v>
      </c>
      <c r="B7" s="25" t="s">
        <v>46</v>
      </c>
      <c r="C7" s="26"/>
      <c r="D7" s="27"/>
      <c r="E7" s="33">
        <v>150</v>
      </c>
    </row>
    <row r="8" spans="1:11" x14ac:dyDescent="0.4">
      <c r="A8" s="21" t="s">
        <v>48</v>
      </c>
      <c r="B8" s="22" t="s">
        <v>49</v>
      </c>
      <c r="C8" s="23"/>
      <c r="D8" s="24"/>
      <c r="E8" s="33">
        <v>106</v>
      </c>
    </row>
    <row r="10" spans="1:11" x14ac:dyDescent="0.4">
      <c r="A10" s="28" t="s">
        <v>110</v>
      </c>
      <c r="G10" s="28" t="s">
        <v>111</v>
      </c>
    </row>
    <row r="11" spans="1:11" ht="19.5" thickBot="1" x14ac:dyDescent="0.45">
      <c r="A11" s="30" t="s">
        <v>31</v>
      </c>
      <c r="B11" s="34" t="s">
        <v>32</v>
      </c>
      <c r="C11" t="s">
        <v>51</v>
      </c>
      <c r="G11" s="30" t="s">
        <v>31</v>
      </c>
      <c r="H11" s="34" t="s">
        <v>32</v>
      </c>
      <c r="I11" t="s">
        <v>51</v>
      </c>
    </row>
    <row r="12" spans="1:11" x14ac:dyDescent="0.4">
      <c r="A12" s="125" t="s">
        <v>33</v>
      </c>
      <c r="B12" s="54" t="s">
        <v>34</v>
      </c>
      <c r="C12" s="55" t="s">
        <v>38</v>
      </c>
      <c r="D12" s="55" t="s">
        <v>39</v>
      </c>
      <c r="E12" s="55" t="s">
        <v>40</v>
      </c>
      <c r="G12" s="125" t="s">
        <v>33</v>
      </c>
      <c r="H12" s="54" t="s">
        <v>34</v>
      </c>
      <c r="I12" s="55" t="s">
        <v>38</v>
      </c>
      <c r="J12" s="55" t="s">
        <v>39</v>
      </c>
      <c r="K12" s="55" t="s">
        <v>40</v>
      </c>
    </row>
    <row r="13" spans="1:11" s="20" customFormat="1" x14ac:dyDescent="0.4">
      <c r="A13" s="126"/>
      <c r="B13" s="32" t="s">
        <v>35</v>
      </c>
      <c r="C13" s="11" t="s">
        <v>35</v>
      </c>
      <c r="D13" s="11" t="s">
        <v>35</v>
      </c>
      <c r="E13" s="11" t="s">
        <v>35</v>
      </c>
      <c r="G13" s="126"/>
      <c r="H13" s="32" t="s">
        <v>35</v>
      </c>
      <c r="I13" s="11" t="s">
        <v>35</v>
      </c>
      <c r="J13" s="11" t="s">
        <v>35</v>
      </c>
      <c r="K13" s="11" t="s">
        <v>35</v>
      </c>
    </row>
    <row r="14" spans="1:11" ht="19.5" thickBot="1" x14ac:dyDescent="0.45">
      <c r="A14" s="127"/>
      <c r="B14" s="37">
        <v>175.3</v>
      </c>
      <c r="C14" s="38">
        <v>197.6</v>
      </c>
      <c r="D14" s="38">
        <v>290.8</v>
      </c>
      <c r="E14" s="38">
        <v>317.2</v>
      </c>
      <c r="G14" s="127"/>
      <c r="H14" s="37">
        <v>354.8</v>
      </c>
      <c r="I14" s="38">
        <v>268.2</v>
      </c>
      <c r="J14" s="38">
        <v>423.3</v>
      </c>
      <c r="K14" s="38">
        <v>461.8</v>
      </c>
    </row>
    <row r="15" spans="1:11" x14ac:dyDescent="0.4">
      <c r="A15" s="125" t="s">
        <v>50</v>
      </c>
      <c r="B15" s="54" t="s">
        <v>34</v>
      </c>
      <c r="C15" s="55" t="s">
        <v>38</v>
      </c>
      <c r="D15" s="55" t="s">
        <v>39</v>
      </c>
      <c r="E15" s="55" t="s">
        <v>40</v>
      </c>
      <c r="G15" s="125" t="s">
        <v>50</v>
      </c>
      <c r="H15" s="54" t="s">
        <v>34</v>
      </c>
      <c r="I15" s="55" t="s">
        <v>38</v>
      </c>
      <c r="J15" s="55" t="s">
        <v>39</v>
      </c>
      <c r="K15" s="55" t="s">
        <v>40</v>
      </c>
    </row>
    <row r="16" spans="1:11" s="20" customFormat="1" x14ac:dyDescent="0.4">
      <c r="A16" s="126"/>
      <c r="B16" s="32" t="s">
        <v>35</v>
      </c>
      <c r="C16" s="11" t="s">
        <v>35</v>
      </c>
      <c r="D16" s="11" t="s">
        <v>35</v>
      </c>
      <c r="E16" s="11" t="s">
        <v>35</v>
      </c>
      <c r="G16" s="126"/>
      <c r="H16" s="32" t="s">
        <v>35</v>
      </c>
      <c r="I16" s="11" t="s">
        <v>35</v>
      </c>
      <c r="J16" s="11" t="s">
        <v>35</v>
      </c>
      <c r="K16" s="11" t="s">
        <v>35</v>
      </c>
    </row>
    <row r="17" spans="1:11" ht="19.5" thickBot="1" x14ac:dyDescent="0.45">
      <c r="A17" s="127"/>
      <c r="B17" s="37">
        <v>194.7</v>
      </c>
      <c r="C17" s="38">
        <v>206.2</v>
      </c>
      <c r="D17" s="38">
        <v>317.2</v>
      </c>
      <c r="E17" s="38">
        <v>349</v>
      </c>
      <c r="G17" s="127"/>
      <c r="H17" s="37">
        <v>283.10000000000002</v>
      </c>
      <c r="I17" s="38">
        <v>299.7</v>
      </c>
      <c r="J17" s="38">
        <v>461.8</v>
      </c>
      <c r="K17" s="38">
        <v>508</v>
      </c>
    </row>
    <row r="18" spans="1:11" x14ac:dyDescent="0.4">
      <c r="A18" s="125" t="s">
        <v>52</v>
      </c>
      <c r="B18" s="54" t="s">
        <v>34</v>
      </c>
      <c r="C18" s="55" t="s">
        <v>38</v>
      </c>
      <c r="D18" s="55" t="s">
        <v>39</v>
      </c>
      <c r="E18" s="55" t="s">
        <v>40</v>
      </c>
      <c r="G18" s="125" t="s">
        <v>52</v>
      </c>
      <c r="H18" s="54" t="s">
        <v>34</v>
      </c>
      <c r="I18" s="55" t="s">
        <v>38</v>
      </c>
      <c r="J18" s="55" t="s">
        <v>39</v>
      </c>
      <c r="K18" s="55" t="s">
        <v>40</v>
      </c>
    </row>
    <row r="19" spans="1:11" s="20" customFormat="1" x14ac:dyDescent="0.4">
      <c r="A19" s="126"/>
      <c r="B19" s="32" t="s">
        <v>35</v>
      </c>
      <c r="C19" s="11" t="s">
        <v>35</v>
      </c>
      <c r="D19" s="11" t="s">
        <v>35</v>
      </c>
      <c r="E19" s="11" t="s">
        <v>35</v>
      </c>
      <c r="G19" s="126"/>
      <c r="H19" s="32" t="s">
        <v>35</v>
      </c>
      <c r="I19" s="11" t="s">
        <v>35</v>
      </c>
      <c r="J19" s="11" t="s">
        <v>35</v>
      </c>
      <c r="K19" s="11" t="s">
        <v>35</v>
      </c>
    </row>
    <row r="20" spans="1:11" ht="19.5" thickBot="1" x14ac:dyDescent="0.45">
      <c r="A20" s="127"/>
      <c r="B20" s="37">
        <v>206.2</v>
      </c>
      <c r="C20" s="38">
        <v>219.4</v>
      </c>
      <c r="D20" s="38">
        <v>349</v>
      </c>
      <c r="E20" s="38">
        <v>387.7</v>
      </c>
      <c r="G20" s="127"/>
      <c r="H20" s="37">
        <v>299.7</v>
      </c>
      <c r="I20" s="38">
        <v>318.5</v>
      </c>
      <c r="J20" s="38">
        <v>508</v>
      </c>
      <c r="K20" s="38">
        <v>564.4</v>
      </c>
    </row>
    <row r="21" spans="1:11" x14ac:dyDescent="0.4">
      <c r="A21" s="122" t="s">
        <v>53</v>
      </c>
      <c r="B21" s="54" t="s">
        <v>34</v>
      </c>
      <c r="G21" s="122" t="s">
        <v>53</v>
      </c>
      <c r="H21" s="54" t="s">
        <v>34</v>
      </c>
    </row>
    <row r="22" spans="1:11" s="20" customFormat="1" x14ac:dyDescent="0.4">
      <c r="A22" s="123"/>
      <c r="B22" s="32" t="s">
        <v>35</v>
      </c>
      <c r="G22" s="123"/>
      <c r="H22" s="32" t="s">
        <v>35</v>
      </c>
    </row>
    <row r="23" spans="1:11" ht="19.5" thickBot="1" x14ac:dyDescent="0.45">
      <c r="A23" s="124"/>
      <c r="B23" s="37">
        <v>438.2</v>
      </c>
      <c r="G23" s="124"/>
      <c r="H23" s="37">
        <v>637</v>
      </c>
    </row>
    <row r="27" spans="1:11" x14ac:dyDescent="0.4">
      <c r="A27" s="28" t="s">
        <v>42</v>
      </c>
    </row>
    <row r="28" spans="1:11" x14ac:dyDescent="0.4">
      <c r="A28" s="21" t="s">
        <v>43</v>
      </c>
      <c r="B28" s="25" t="s">
        <v>58</v>
      </c>
      <c r="C28" s="26"/>
      <c r="D28" s="27"/>
      <c r="E28" s="33">
        <v>800</v>
      </c>
    </row>
    <row r="29" spans="1:11" x14ac:dyDescent="0.4">
      <c r="A29" s="21" t="s">
        <v>47</v>
      </c>
      <c r="B29" s="25" t="s">
        <v>59</v>
      </c>
      <c r="C29" s="26"/>
      <c r="D29" s="27"/>
      <c r="E29" s="33">
        <v>800</v>
      </c>
    </row>
    <row r="30" spans="1:11" x14ac:dyDescent="0.4">
      <c r="A30" s="21" t="s">
        <v>48</v>
      </c>
      <c r="B30" s="22" t="s">
        <v>71</v>
      </c>
      <c r="C30" s="23"/>
      <c r="D30" s="24"/>
      <c r="E30" s="33">
        <v>117</v>
      </c>
    </row>
    <row r="32" spans="1:11" x14ac:dyDescent="0.4">
      <c r="A32" s="28" t="s">
        <v>112</v>
      </c>
    </row>
    <row r="33" spans="1:7" ht="19.5" thickBot="1" x14ac:dyDescent="0.45">
      <c r="A33" s="30" t="s">
        <v>31</v>
      </c>
      <c r="B33" s="34" t="s">
        <v>32</v>
      </c>
      <c r="C33" t="s">
        <v>51</v>
      </c>
    </row>
    <row r="34" spans="1:7" x14ac:dyDescent="0.4">
      <c r="A34" s="125" t="s">
        <v>33</v>
      </c>
      <c r="B34" s="131" t="s">
        <v>34</v>
      </c>
      <c r="C34" s="129"/>
      <c r="D34" s="130"/>
    </row>
    <row r="35" spans="1:7" x14ac:dyDescent="0.4">
      <c r="A35" s="126"/>
      <c r="B35" s="50" t="s">
        <v>35</v>
      </c>
      <c r="C35" s="11" t="s">
        <v>36</v>
      </c>
      <c r="D35" s="31" t="s">
        <v>37</v>
      </c>
    </row>
    <row r="36" spans="1:7" ht="19.5" thickBot="1" x14ac:dyDescent="0.45">
      <c r="A36" s="127"/>
      <c r="B36" s="51">
        <v>72.83</v>
      </c>
      <c r="C36" s="38">
        <v>75.959999999999994</v>
      </c>
      <c r="D36" s="39">
        <v>80.13</v>
      </c>
    </row>
    <row r="37" spans="1:7" x14ac:dyDescent="0.4">
      <c r="A37" s="125" t="s">
        <v>50</v>
      </c>
      <c r="B37" s="128" t="s">
        <v>34</v>
      </c>
      <c r="C37" s="129"/>
      <c r="D37" s="129"/>
      <c r="E37" s="129" t="s">
        <v>39</v>
      </c>
      <c r="F37" s="129"/>
      <c r="G37" s="130"/>
    </row>
    <row r="38" spans="1:7" x14ac:dyDescent="0.4">
      <c r="A38" s="126"/>
      <c r="B38" s="32" t="s">
        <v>35</v>
      </c>
      <c r="C38" s="11" t="s">
        <v>36</v>
      </c>
      <c r="D38" s="11" t="s">
        <v>37</v>
      </c>
      <c r="E38" s="11" t="s">
        <v>35</v>
      </c>
      <c r="F38" s="11" t="s">
        <v>36</v>
      </c>
      <c r="G38" s="31" t="s">
        <v>37</v>
      </c>
    </row>
    <row r="39" spans="1:7" ht="19.5" thickBot="1" x14ac:dyDescent="0.45">
      <c r="A39" s="127"/>
      <c r="B39" s="37">
        <v>87.4</v>
      </c>
      <c r="C39" s="38">
        <v>91.16</v>
      </c>
      <c r="D39" s="38">
        <v>96.16</v>
      </c>
      <c r="E39" s="38">
        <v>109.2</v>
      </c>
      <c r="F39" s="38">
        <v>113.9</v>
      </c>
      <c r="G39" s="39">
        <v>120.2</v>
      </c>
    </row>
    <row r="41" spans="1:7" x14ac:dyDescent="0.4">
      <c r="A41" s="28" t="s">
        <v>113</v>
      </c>
    </row>
    <row r="42" spans="1:7" ht="19.5" thickBot="1" x14ac:dyDescent="0.45">
      <c r="A42" s="30" t="s">
        <v>31</v>
      </c>
      <c r="B42" s="34" t="s">
        <v>32</v>
      </c>
      <c r="C42" t="s">
        <v>51</v>
      </c>
    </row>
    <row r="43" spans="1:7" ht="18.75" customHeight="1" x14ac:dyDescent="0.4">
      <c r="A43" s="122" t="s">
        <v>60</v>
      </c>
      <c r="B43" s="131" t="s">
        <v>61</v>
      </c>
      <c r="C43" s="129"/>
      <c r="D43" s="130"/>
    </row>
    <row r="44" spans="1:7" x14ac:dyDescent="0.4">
      <c r="A44" s="123"/>
      <c r="B44" s="50" t="s">
        <v>35</v>
      </c>
      <c r="C44" s="11" t="s">
        <v>36</v>
      </c>
      <c r="D44" s="31" t="s">
        <v>37</v>
      </c>
    </row>
    <row r="45" spans="1:7" ht="19.5" thickBot="1" x14ac:dyDescent="0.45">
      <c r="A45" s="124"/>
      <c r="B45" s="51">
        <v>488.3</v>
      </c>
      <c r="C45" s="38">
        <v>516.29999999999995</v>
      </c>
      <c r="D45" s="39">
        <v>553.6</v>
      </c>
    </row>
    <row r="46" spans="1:7" x14ac:dyDescent="0.4">
      <c r="A46" s="122" t="s">
        <v>62</v>
      </c>
      <c r="B46" s="131" t="s">
        <v>75</v>
      </c>
      <c r="C46" s="129"/>
      <c r="D46" s="130"/>
      <c r="E46" s="131" t="s">
        <v>76</v>
      </c>
      <c r="F46" s="129"/>
      <c r="G46" s="130"/>
    </row>
    <row r="47" spans="1:7" x14ac:dyDescent="0.4">
      <c r="A47" s="123"/>
      <c r="B47" s="50" t="s">
        <v>35</v>
      </c>
      <c r="C47" s="11" t="s">
        <v>36</v>
      </c>
      <c r="D47" s="31" t="s">
        <v>37</v>
      </c>
      <c r="E47" s="50" t="s">
        <v>35</v>
      </c>
      <c r="F47" s="11" t="s">
        <v>36</v>
      </c>
      <c r="G47" s="31" t="s">
        <v>37</v>
      </c>
    </row>
    <row r="48" spans="1:7" ht="19.5" thickBot="1" x14ac:dyDescent="0.45">
      <c r="A48" s="124"/>
      <c r="B48" s="51">
        <v>810.9</v>
      </c>
      <c r="C48" s="38">
        <v>827.9</v>
      </c>
      <c r="D48" s="39">
        <v>850.7</v>
      </c>
      <c r="E48" s="51">
        <v>676.5</v>
      </c>
      <c r="F48" s="38">
        <v>691.1</v>
      </c>
      <c r="G48" s="39">
        <v>710.5</v>
      </c>
    </row>
    <row r="50" spans="1:6" x14ac:dyDescent="0.4">
      <c r="A50" s="28" t="s">
        <v>109</v>
      </c>
    </row>
    <row r="51" spans="1:6" ht="19.5" thickBot="1" x14ac:dyDescent="0.45">
      <c r="A51" t="s">
        <v>83</v>
      </c>
    </row>
    <row r="52" spans="1:6" x14ac:dyDescent="0.4">
      <c r="A52" s="99" t="s">
        <v>84</v>
      </c>
      <c r="B52" s="97" t="s">
        <v>88</v>
      </c>
      <c r="C52" s="102">
        <v>1000</v>
      </c>
      <c r="D52" s="99" t="s">
        <v>86</v>
      </c>
      <c r="E52" s="97" t="s">
        <v>88</v>
      </c>
      <c r="F52" s="102">
        <v>850</v>
      </c>
    </row>
    <row r="53" spans="1:6" x14ac:dyDescent="0.4">
      <c r="A53" s="100"/>
      <c r="B53" s="27" t="s">
        <v>89</v>
      </c>
      <c r="C53" s="103">
        <v>925</v>
      </c>
      <c r="D53" s="100"/>
      <c r="E53" s="27" t="s">
        <v>89</v>
      </c>
      <c r="F53" s="103">
        <v>775</v>
      </c>
    </row>
    <row r="54" spans="1:6" x14ac:dyDescent="0.4">
      <c r="A54" s="100"/>
      <c r="B54" s="27" t="s">
        <v>90</v>
      </c>
      <c r="C54" s="103">
        <v>625</v>
      </c>
      <c r="D54" s="100"/>
      <c r="E54" s="27" t="s">
        <v>90</v>
      </c>
      <c r="F54" s="103">
        <v>525</v>
      </c>
    </row>
    <row r="55" spans="1:6" ht="19.5" thickBot="1" x14ac:dyDescent="0.45">
      <c r="A55" s="101"/>
      <c r="B55" s="98" t="s">
        <v>91</v>
      </c>
      <c r="C55" s="104">
        <v>550</v>
      </c>
      <c r="D55" s="101"/>
      <c r="E55" s="98" t="s">
        <v>91</v>
      </c>
      <c r="F55" s="104">
        <v>450</v>
      </c>
    </row>
    <row r="56" spans="1:6" x14ac:dyDescent="0.4">
      <c r="A56" s="99" t="s">
        <v>85</v>
      </c>
      <c r="B56" s="97" t="s">
        <v>88</v>
      </c>
      <c r="C56" s="102">
        <v>900</v>
      </c>
      <c r="D56" s="99" t="s">
        <v>87</v>
      </c>
      <c r="E56" s="97" t="s">
        <v>92</v>
      </c>
      <c r="F56" s="102">
        <v>400</v>
      </c>
    </row>
    <row r="57" spans="1:6" x14ac:dyDescent="0.4">
      <c r="A57" s="100"/>
      <c r="B57" s="27" t="s">
        <v>89</v>
      </c>
      <c r="C57" s="103">
        <v>825</v>
      </c>
      <c r="D57" s="100"/>
      <c r="E57" s="27"/>
      <c r="F57" s="58"/>
    </row>
    <row r="58" spans="1:6" x14ac:dyDescent="0.4">
      <c r="A58" s="100"/>
      <c r="B58" s="27" t="s">
        <v>90</v>
      </c>
      <c r="C58" s="103">
        <v>550</v>
      </c>
      <c r="D58" s="100"/>
      <c r="E58" s="27"/>
      <c r="F58" s="58"/>
    </row>
    <row r="59" spans="1:6" ht="19.5" thickBot="1" x14ac:dyDescent="0.45">
      <c r="A59" s="101"/>
      <c r="B59" s="98" t="s">
        <v>91</v>
      </c>
      <c r="C59" s="104">
        <v>500</v>
      </c>
      <c r="D59" s="101"/>
      <c r="E59" s="98"/>
      <c r="F59" s="60"/>
    </row>
  </sheetData>
  <mergeCells count="18">
    <mergeCell ref="E46:G46"/>
    <mergeCell ref="A46:A48"/>
    <mergeCell ref="B46:D46"/>
    <mergeCell ref="A43:A45"/>
    <mergeCell ref="B43:D43"/>
    <mergeCell ref="A37:A39"/>
    <mergeCell ref="B37:D37"/>
    <mergeCell ref="E37:G37"/>
    <mergeCell ref="A34:A36"/>
    <mergeCell ref="B34:D34"/>
    <mergeCell ref="G21:G23"/>
    <mergeCell ref="G18:G20"/>
    <mergeCell ref="G15:G17"/>
    <mergeCell ref="G12:G14"/>
    <mergeCell ref="A12:A14"/>
    <mergeCell ref="A18:A20"/>
    <mergeCell ref="A21:A23"/>
    <mergeCell ref="A15:A17"/>
  </mergeCells>
  <phoneticPr fontId="2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workbookViewId="0">
      <selection activeCell="G24" sqref="G24"/>
    </sheetView>
  </sheetViews>
  <sheetFormatPr defaultColWidth="9" defaultRowHeight="18.75" x14ac:dyDescent="0.4"/>
  <cols>
    <col min="1" max="1" width="22.125" style="1" customWidth="1"/>
    <col min="2" max="2" width="5.25" style="1" bestFit="1" customWidth="1"/>
    <col min="3" max="3" width="16.75" style="1" customWidth="1"/>
    <col min="4" max="6" width="9" style="1"/>
    <col min="7" max="7" width="9.375" style="1" bestFit="1" customWidth="1"/>
    <col min="8" max="8" width="9" style="1"/>
    <col min="9" max="9" width="9" style="17"/>
    <col min="10" max="10" width="9.75" style="1" customWidth="1"/>
    <col min="11" max="16384" width="9" style="1"/>
  </cols>
  <sheetData>
    <row r="1" spans="1:11" ht="19.5" x14ac:dyDescent="0.4">
      <c r="A1" s="12" t="s">
        <v>10</v>
      </c>
      <c r="B1" s="13"/>
      <c r="C1" s="12" t="str">
        <f>単価入力!A2</f>
        <v>建設物価調査会</v>
      </c>
      <c r="D1" s="13"/>
      <c r="E1" s="14" t="str">
        <f>単価入力!B11</f>
        <v>東京</v>
      </c>
      <c r="F1" s="3"/>
      <c r="G1" s="3" t="s">
        <v>55</v>
      </c>
      <c r="H1" s="3"/>
      <c r="I1" s="16"/>
    </row>
    <row r="2" spans="1:11" x14ac:dyDescent="0.4">
      <c r="A2" s="2"/>
      <c r="C2" s="2"/>
      <c r="E2" s="3"/>
      <c r="F2" s="3"/>
      <c r="G2" s="3"/>
      <c r="H2" s="3"/>
      <c r="I2" s="16"/>
    </row>
    <row r="3" spans="1:11" x14ac:dyDescent="0.4">
      <c r="A3" s="132" t="s">
        <v>14</v>
      </c>
      <c r="B3" s="132" t="s">
        <v>1</v>
      </c>
      <c r="C3" s="4" t="s">
        <v>3</v>
      </c>
      <c r="D3" s="135" t="s">
        <v>2</v>
      </c>
      <c r="E3" s="135"/>
      <c r="F3" s="135"/>
      <c r="G3" s="135"/>
      <c r="H3" s="135"/>
      <c r="I3" s="134" t="s">
        <v>8</v>
      </c>
      <c r="J3" s="135" t="s">
        <v>0</v>
      </c>
      <c r="K3" s="135" t="s">
        <v>9</v>
      </c>
    </row>
    <row r="4" spans="1:11" x14ac:dyDescent="0.4">
      <c r="A4" s="133"/>
      <c r="B4" s="133"/>
      <c r="C4" s="5" t="s">
        <v>11</v>
      </c>
      <c r="D4" s="6" t="s">
        <v>4</v>
      </c>
      <c r="E4" s="6" t="s">
        <v>5</v>
      </c>
      <c r="F4" s="11" t="s">
        <v>6</v>
      </c>
      <c r="G4" s="6" t="s">
        <v>13</v>
      </c>
      <c r="H4" s="6" t="s">
        <v>7</v>
      </c>
      <c r="I4" s="134"/>
      <c r="J4" s="135"/>
      <c r="K4" s="135"/>
    </row>
    <row r="5" spans="1:11" x14ac:dyDescent="0.4">
      <c r="A5" s="9" t="s">
        <v>15</v>
      </c>
      <c r="B5" s="6" t="s">
        <v>12</v>
      </c>
      <c r="C5" s="6">
        <f>単価入力!B14</f>
        <v>175.3</v>
      </c>
      <c r="D5" s="6">
        <f>単価入力!E5*0.57</f>
        <v>91.199999999999989</v>
      </c>
      <c r="E5" s="6">
        <f>単価入力!E7*0.025</f>
        <v>3.75</v>
      </c>
      <c r="F5" s="6">
        <f>単価入力!E6*0.025</f>
        <v>9</v>
      </c>
      <c r="G5" s="6">
        <f>単価入力!E8*0.044</f>
        <v>4.6639999999999997</v>
      </c>
      <c r="H5" s="8">
        <f>(D5+E5+F5+G5)*0.05</f>
        <v>5.4306999999999999</v>
      </c>
      <c r="I5" s="40">
        <f>SUM(C5:H5)</f>
        <v>289.34469999999999</v>
      </c>
      <c r="J5" s="6">
        <v>240</v>
      </c>
      <c r="K5" s="7">
        <f>I5/J5</f>
        <v>1.2056029166666666</v>
      </c>
    </row>
    <row r="6" spans="1:11" x14ac:dyDescent="0.4">
      <c r="A6" s="9" t="s">
        <v>16</v>
      </c>
      <c r="B6" s="6" t="s">
        <v>12</v>
      </c>
      <c r="C6" s="19">
        <f>単価入力!C14</f>
        <v>197.6</v>
      </c>
      <c r="D6" s="6">
        <f>単価入力!E5*0.76</f>
        <v>121.6</v>
      </c>
      <c r="E6" s="6">
        <f>単価入力!E7*0.033</f>
        <v>4.95</v>
      </c>
      <c r="F6" s="6">
        <f>単価入力!E6*0.033</f>
        <v>11.88</v>
      </c>
      <c r="G6" s="6">
        <f>単価入力!E8*0.048</f>
        <v>5.0880000000000001</v>
      </c>
      <c r="H6" s="8">
        <f t="shared" ref="H6:H19" si="0">(D6+E6+F6+G6)*0.05</f>
        <v>7.1759000000000004</v>
      </c>
      <c r="I6" s="40">
        <f t="shared" ref="I6:I19" si="1">SUM(C6:H6)</f>
        <v>348.29390000000001</v>
      </c>
      <c r="J6" s="6">
        <v>290</v>
      </c>
      <c r="K6" s="7">
        <f t="shared" ref="K6:K19" si="2">I6/J6</f>
        <v>1.2010134482758621</v>
      </c>
    </row>
    <row r="7" spans="1:11" x14ac:dyDescent="0.4">
      <c r="A7" s="9" t="s">
        <v>17</v>
      </c>
      <c r="B7" s="6" t="s">
        <v>12</v>
      </c>
      <c r="C7" s="6">
        <f>単価入力!D14</f>
        <v>290.8</v>
      </c>
      <c r="D7" s="6">
        <f>単価入力!E5*1.13</f>
        <v>180.79999999999998</v>
      </c>
      <c r="E7" s="6">
        <f>単価入力!E7*0.05</f>
        <v>7.5</v>
      </c>
      <c r="F7" s="6">
        <f>単価入力!E6*0.05</f>
        <v>18</v>
      </c>
      <c r="G7" s="6">
        <f>単価入力!E8*0.071</f>
        <v>7.5259999999999989</v>
      </c>
      <c r="H7" s="8">
        <f t="shared" si="0"/>
        <v>10.6913</v>
      </c>
      <c r="I7" s="40">
        <f t="shared" si="1"/>
        <v>515.31730000000005</v>
      </c>
      <c r="J7" s="6">
        <v>440</v>
      </c>
      <c r="K7" s="7">
        <f t="shared" si="2"/>
        <v>1.171175681818182</v>
      </c>
    </row>
    <row r="8" spans="1:11" x14ac:dyDescent="0.4">
      <c r="A8" s="9" t="s">
        <v>18</v>
      </c>
      <c r="B8" s="6" t="s">
        <v>12</v>
      </c>
      <c r="C8" s="6">
        <f>単価入力!E14</f>
        <v>317.2</v>
      </c>
      <c r="D8" s="6">
        <f>単価入力!E5*1.7</f>
        <v>272</v>
      </c>
      <c r="E8" s="6">
        <f>単価入力!E7*0.075</f>
        <v>11.25</v>
      </c>
      <c r="F8" s="6">
        <f>単価入力!E6*0.075</f>
        <v>27</v>
      </c>
      <c r="G8" s="6">
        <f>単価入力!E8*0.08</f>
        <v>8.48</v>
      </c>
      <c r="H8" s="8">
        <f t="shared" si="0"/>
        <v>15.936500000000002</v>
      </c>
      <c r="I8" s="40">
        <f t="shared" si="1"/>
        <v>651.86650000000009</v>
      </c>
      <c r="J8" s="6">
        <v>585</v>
      </c>
      <c r="K8" s="7">
        <f t="shared" si="2"/>
        <v>1.1143017094017096</v>
      </c>
    </row>
    <row r="9" spans="1:11" x14ac:dyDescent="0.4">
      <c r="A9" s="9" t="s">
        <v>19</v>
      </c>
      <c r="B9" s="6" t="s">
        <v>12</v>
      </c>
      <c r="C9" s="6">
        <v>190</v>
      </c>
      <c r="D9" s="6">
        <f>単価入力!E5*0.57</f>
        <v>91.199999999999989</v>
      </c>
      <c r="E9" s="6">
        <f>単価入力!E7*0.025</f>
        <v>3.75</v>
      </c>
      <c r="F9" s="6">
        <f>単価入力!E6*0.025</f>
        <v>9</v>
      </c>
      <c r="G9" s="6">
        <f>単価入力!E8*0.049</f>
        <v>5.194</v>
      </c>
      <c r="H9" s="8">
        <f t="shared" si="0"/>
        <v>5.4572000000000003</v>
      </c>
      <c r="I9" s="40">
        <f t="shared" si="1"/>
        <v>304.60120000000001</v>
      </c>
      <c r="J9" s="6">
        <v>255</v>
      </c>
      <c r="K9" s="7">
        <f t="shared" si="2"/>
        <v>1.1945145098039216</v>
      </c>
    </row>
    <row r="10" spans="1:11" x14ac:dyDescent="0.4">
      <c r="A10" s="9" t="s">
        <v>20</v>
      </c>
      <c r="B10" s="6" t="s">
        <v>12</v>
      </c>
      <c r="C10" s="6">
        <f>単価入力!C17</f>
        <v>206.2</v>
      </c>
      <c r="D10" s="6">
        <f>単価入力!E5*0.76</f>
        <v>121.6</v>
      </c>
      <c r="E10" s="6">
        <f>単価入力!E7*0.033</f>
        <v>4.95</v>
      </c>
      <c r="F10" s="6">
        <f>単価入力!E6*0.033</f>
        <v>11.88</v>
      </c>
      <c r="G10" s="6">
        <f>単価入力!E8*0.054</f>
        <v>5.7240000000000002</v>
      </c>
      <c r="H10" s="8">
        <f t="shared" si="0"/>
        <v>7.2077</v>
      </c>
      <c r="I10" s="40">
        <f t="shared" si="1"/>
        <v>357.56169999999992</v>
      </c>
      <c r="J10" s="6">
        <v>305</v>
      </c>
      <c r="K10" s="7">
        <f t="shared" si="2"/>
        <v>1.1723334426229506</v>
      </c>
    </row>
    <row r="11" spans="1:11" x14ac:dyDescent="0.4">
      <c r="A11" s="9" t="s">
        <v>21</v>
      </c>
      <c r="B11" s="6" t="s">
        <v>12</v>
      </c>
      <c r="C11" s="6">
        <f>単価入力!D17</f>
        <v>317.2</v>
      </c>
      <c r="D11" s="6">
        <f>単価入力!E5*1.13</f>
        <v>180.79999999999998</v>
      </c>
      <c r="E11" s="6">
        <f>単価入力!E7*0.05</f>
        <v>7.5</v>
      </c>
      <c r="F11" s="6">
        <f>単価入力!E6*0.05</f>
        <v>18</v>
      </c>
      <c r="G11" s="6">
        <f>単価入力!E8*0.08</f>
        <v>8.48</v>
      </c>
      <c r="H11" s="8">
        <f t="shared" si="0"/>
        <v>10.738999999999999</v>
      </c>
      <c r="I11" s="40">
        <f t="shared" si="1"/>
        <v>542.71900000000005</v>
      </c>
      <c r="J11" s="6">
        <v>460</v>
      </c>
      <c r="K11" s="7">
        <f t="shared" si="2"/>
        <v>1.1798239130434784</v>
      </c>
    </row>
    <row r="12" spans="1:11" x14ac:dyDescent="0.4">
      <c r="A12" s="9" t="s">
        <v>22</v>
      </c>
      <c r="B12" s="6" t="s">
        <v>12</v>
      </c>
      <c r="C12" s="6">
        <f>単価入力!E17</f>
        <v>349</v>
      </c>
      <c r="D12" s="6">
        <f>単価入力!E5*1.7</f>
        <v>272</v>
      </c>
      <c r="E12" s="6">
        <f>単価入力!E7*0.075</f>
        <v>11.25</v>
      </c>
      <c r="F12" s="6">
        <f>単価入力!E6*0.075</f>
        <v>27</v>
      </c>
      <c r="G12" s="6">
        <f>単価入力!E8*0.088</f>
        <v>9.3279999999999994</v>
      </c>
      <c r="H12" s="8">
        <f t="shared" si="0"/>
        <v>15.978899999999999</v>
      </c>
      <c r="I12" s="40">
        <f t="shared" si="1"/>
        <v>684.55689999999993</v>
      </c>
      <c r="J12" s="6">
        <v>595</v>
      </c>
      <c r="K12" s="7">
        <f t="shared" si="2"/>
        <v>1.1505157983193277</v>
      </c>
    </row>
    <row r="13" spans="1:11" x14ac:dyDescent="0.4">
      <c r="A13" s="9" t="s">
        <v>23</v>
      </c>
      <c r="B13" s="6" t="s">
        <v>12</v>
      </c>
      <c r="C13" s="6">
        <f>単価入力!B20</f>
        <v>206.2</v>
      </c>
      <c r="D13" s="6">
        <f>単価入力!E5*0.57</f>
        <v>91.199999999999989</v>
      </c>
      <c r="E13" s="6">
        <f>単価入力!E7*0.025</f>
        <v>3.75</v>
      </c>
      <c r="F13" s="6">
        <f>単価入力!E6*0.025</f>
        <v>9</v>
      </c>
      <c r="G13" s="6">
        <f>単価入力!E8*0.052</f>
        <v>5.5119999999999996</v>
      </c>
      <c r="H13" s="8">
        <f t="shared" si="0"/>
        <v>5.4730999999999996</v>
      </c>
      <c r="I13" s="40">
        <f t="shared" si="1"/>
        <v>321.13509999999997</v>
      </c>
      <c r="J13" s="6">
        <v>245</v>
      </c>
      <c r="K13" s="7">
        <f t="shared" si="2"/>
        <v>1.3107555102040815</v>
      </c>
    </row>
    <row r="14" spans="1:11" x14ac:dyDescent="0.4">
      <c r="A14" s="9" t="s">
        <v>24</v>
      </c>
      <c r="B14" s="6" t="s">
        <v>12</v>
      </c>
      <c r="C14" s="6">
        <f>単価入力!C20</f>
        <v>219.4</v>
      </c>
      <c r="D14" s="6">
        <f>単価入力!E5*0.76</f>
        <v>121.6</v>
      </c>
      <c r="E14" s="6">
        <f>単価入力!E7*0.033</f>
        <v>4.95</v>
      </c>
      <c r="F14" s="6">
        <f>単価入力!E6*0.033</f>
        <v>11.88</v>
      </c>
      <c r="G14" s="6">
        <f>単価入力!E8*0.057</f>
        <v>6.0419999999999998</v>
      </c>
      <c r="H14" s="8">
        <f t="shared" si="0"/>
        <v>7.2236000000000011</v>
      </c>
      <c r="I14" s="40">
        <f t="shared" si="1"/>
        <v>371.09559999999993</v>
      </c>
      <c r="J14" s="6">
        <v>290</v>
      </c>
      <c r="K14" s="7">
        <f t="shared" si="2"/>
        <v>1.2796399999999997</v>
      </c>
    </row>
    <row r="15" spans="1:11" x14ac:dyDescent="0.4">
      <c r="A15" s="9" t="s">
        <v>25</v>
      </c>
      <c r="B15" s="6" t="s">
        <v>12</v>
      </c>
      <c r="C15" s="6">
        <f>単価入力!D20</f>
        <v>349</v>
      </c>
      <c r="D15" s="6">
        <f>単価入力!E5*1.13</f>
        <v>180.79999999999998</v>
      </c>
      <c r="E15" s="6">
        <f>単価入力!E7*0.05</f>
        <v>7.5</v>
      </c>
      <c r="F15" s="6">
        <f>単価入力!E6*0.05</f>
        <v>18</v>
      </c>
      <c r="G15" s="6">
        <f>単価入力!E8*0.084</f>
        <v>8.9039999999999999</v>
      </c>
      <c r="H15" s="8">
        <f t="shared" si="0"/>
        <v>10.760199999999999</v>
      </c>
      <c r="I15" s="40">
        <f t="shared" si="1"/>
        <v>574.96420000000001</v>
      </c>
      <c r="J15" s="6">
        <v>440</v>
      </c>
      <c r="K15" s="7">
        <f t="shared" si="2"/>
        <v>1.3067368181818182</v>
      </c>
    </row>
    <row r="16" spans="1:11" x14ac:dyDescent="0.4">
      <c r="A16" s="9" t="s">
        <v>26</v>
      </c>
      <c r="B16" s="6" t="s">
        <v>12</v>
      </c>
      <c r="C16" s="6">
        <f>単価入力!E20</f>
        <v>387.7</v>
      </c>
      <c r="D16" s="6">
        <f>単価入力!E5*1.7</f>
        <v>272</v>
      </c>
      <c r="E16" s="6">
        <f>単価入力!E7*0.075</f>
        <v>11.25</v>
      </c>
      <c r="F16" s="6">
        <f>単価入力!E6*0.075</f>
        <v>27</v>
      </c>
      <c r="G16" s="6">
        <f>単価入力!E8*0.098</f>
        <v>10.388</v>
      </c>
      <c r="H16" s="8">
        <f t="shared" si="0"/>
        <v>16.0319</v>
      </c>
      <c r="I16" s="40">
        <f t="shared" si="1"/>
        <v>724.36990000000003</v>
      </c>
      <c r="J16" s="6">
        <v>585</v>
      </c>
      <c r="K16" s="7">
        <f t="shared" si="2"/>
        <v>1.2382391452991452</v>
      </c>
    </row>
    <row r="17" spans="1:11" x14ac:dyDescent="0.4">
      <c r="A17" s="9" t="s">
        <v>27</v>
      </c>
      <c r="B17" s="6" t="s">
        <v>12</v>
      </c>
      <c r="C17" s="6">
        <f>単価入力!B23</f>
        <v>438.2</v>
      </c>
      <c r="D17" s="6">
        <f>単価入力!E5*0.57</f>
        <v>91.199999999999989</v>
      </c>
      <c r="E17" s="6">
        <f>単価入力!E7*0.025</f>
        <v>3.75</v>
      </c>
      <c r="F17" s="6">
        <f>単価入力!E6*0.025</f>
        <v>9</v>
      </c>
      <c r="G17" s="6">
        <f>単価入力!E8*0.1</f>
        <v>10.600000000000001</v>
      </c>
      <c r="H17" s="8">
        <f t="shared" si="0"/>
        <v>5.7274999999999991</v>
      </c>
      <c r="I17" s="40">
        <f t="shared" si="1"/>
        <v>558.47749999999996</v>
      </c>
      <c r="J17" s="6">
        <v>480</v>
      </c>
      <c r="K17" s="7">
        <f t="shared" si="2"/>
        <v>1.1634947916666667</v>
      </c>
    </row>
    <row r="18" spans="1:11" x14ac:dyDescent="0.4">
      <c r="A18" s="9" t="s">
        <v>28</v>
      </c>
      <c r="B18" s="6" t="s">
        <v>12</v>
      </c>
      <c r="C18" s="10">
        <v>85500</v>
      </c>
      <c r="D18" s="6">
        <f>単価入力!E5*0.57*200</f>
        <v>18239.999999999996</v>
      </c>
      <c r="E18" s="6">
        <f>単価入力!E7*0.025*200</f>
        <v>750</v>
      </c>
      <c r="F18" s="6">
        <f>単価入力!E6*0.025*200</f>
        <v>1800</v>
      </c>
      <c r="G18" s="6">
        <f>単価入力!E8*0.044*200</f>
        <v>932.8</v>
      </c>
      <c r="H18" s="8">
        <f t="shared" si="0"/>
        <v>1086.1399999999999</v>
      </c>
      <c r="I18" s="40">
        <f t="shared" si="1"/>
        <v>108308.94</v>
      </c>
      <c r="J18" s="10">
        <v>49000</v>
      </c>
      <c r="K18" s="7">
        <f t="shared" si="2"/>
        <v>2.210386530612245</v>
      </c>
    </row>
    <row r="19" spans="1:11" x14ac:dyDescent="0.4">
      <c r="A19" s="9" t="s">
        <v>29</v>
      </c>
      <c r="B19" s="15" t="s">
        <v>12</v>
      </c>
      <c r="C19" s="10">
        <v>171000</v>
      </c>
      <c r="D19" s="15">
        <f>単価入力!E5*0.57*500</f>
        <v>45599.999999999993</v>
      </c>
      <c r="E19" s="15">
        <f>単価入力!E7*0.025*500</f>
        <v>1875</v>
      </c>
      <c r="F19" s="15">
        <f>単価入力!E6*0.025*500</f>
        <v>4500</v>
      </c>
      <c r="G19" s="15">
        <f>単価入力!E8*0.044*500</f>
        <v>2332</v>
      </c>
      <c r="H19" s="8">
        <f t="shared" si="0"/>
        <v>2715.35</v>
      </c>
      <c r="I19" s="40">
        <f t="shared" si="1"/>
        <v>228022.35</v>
      </c>
      <c r="J19" s="10">
        <v>120000</v>
      </c>
      <c r="K19" s="7">
        <f t="shared" si="2"/>
        <v>1.90018625</v>
      </c>
    </row>
    <row r="20" spans="1:11" x14ac:dyDescent="0.4">
      <c r="A20" s="9"/>
      <c r="B20" s="6"/>
      <c r="C20" s="6"/>
      <c r="D20" s="6"/>
      <c r="E20" s="6"/>
      <c r="F20" s="6"/>
      <c r="G20" s="6"/>
      <c r="H20" s="6"/>
      <c r="I20" s="18"/>
      <c r="J20" s="6"/>
      <c r="K20" s="6"/>
    </row>
    <row r="21" spans="1:11" x14ac:dyDescent="0.4">
      <c r="A21" s="2"/>
    </row>
    <row r="22" spans="1:11" x14ac:dyDescent="0.4">
      <c r="A22" s="2"/>
    </row>
    <row r="23" spans="1:11" x14ac:dyDescent="0.4">
      <c r="A23" s="2"/>
    </row>
    <row r="24" spans="1:11" x14ac:dyDescent="0.4">
      <c r="A24" s="2"/>
    </row>
  </sheetData>
  <mergeCells count="6">
    <mergeCell ref="A3:A4"/>
    <mergeCell ref="I3:I4"/>
    <mergeCell ref="K3:K4"/>
    <mergeCell ref="B3:B4"/>
    <mergeCell ref="D3:H3"/>
    <mergeCell ref="J3:J4"/>
  </mergeCells>
  <phoneticPr fontId="2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D0A4-2559-4DBC-BC18-F6712D8FBE03}">
  <dimension ref="A1:H38"/>
  <sheetViews>
    <sheetView showZeros="0" workbookViewId="0">
      <selection activeCell="H9" sqref="H9"/>
    </sheetView>
  </sheetViews>
  <sheetFormatPr defaultRowHeight="18.75" x14ac:dyDescent="0.4"/>
  <cols>
    <col min="2" max="2" width="8.875" customWidth="1"/>
    <col min="3" max="3" width="11" style="66" bestFit="1" customWidth="1"/>
    <col min="4" max="4" width="14.25" style="17" customWidth="1"/>
    <col min="5" max="5" width="6.875" customWidth="1"/>
    <col min="6" max="6" width="11.25" customWidth="1"/>
    <col min="7" max="8" width="11.25" style="66" customWidth="1"/>
  </cols>
  <sheetData>
    <row r="1" spans="1:8" x14ac:dyDescent="0.4">
      <c r="A1" t="s">
        <v>93</v>
      </c>
      <c r="D1" s="109" t="s">
        <v>103</v>
      </c>
    </row>
    <row r="2" spans="1:8" x14ac:dyDescent="0.4">
      <c r="D2" s="109"/>
    </row>
    <row r="3" spans="1:8" ht="19.5" thickBot="1" x14ac:dyDescent="0.45">
      <c r="A3" s="118" t="s">
        <v>104</v>
      </c>
    </row>
    <row r="4" spans="1:8" ht="38.25" thickBot="1" x14ac:dyDescent="0.45">
      <c r="A4" s="141" t="s">
        <v>94</v>
      </c>
      <c r="B4" s="142"/>
      <c r="C4" s="73" t="s">
        <v>95</v>
      </c>
      <c r="D4" s="84" t="s">
        <v>96</v>
      </c>
      <c r="E4" s="61" t="s">
        <v>97</v>
      </c>
      <c r="F4" s="85" t="s">
        <v>99</v>
      </c>
      <c r="G4" s="84" t="s">
        <v>100</v>
      </c>
      <c r="H4" s="86" t="s">
        <v>101</v>
      </c>
    </row>
    <row r="5" spans="1:8" x14ac:dyDescent="0.4">
      <c r="A5" s="131" t="str">
        <f>単価入力!A52</f>
        <v>実線</v>
      </c>
      <c r="B5" s="57" t="str">
        <f>単価入力!B52</f>
        <v>15㎝</v>
      </c>
      <c r="C5" s="74">
        <f>単価入力!C52</f>
        <v>1000</v>
      </c>
      <c r="D5" s="105">
        <v>200</v>
      </c>
      <c r="E5" s="87">
        <f>D5/C5</f>
        <v>0.2</v>
      </c>
      <c r="F5" s="88">
        <f t="shared" ref="F5:F17" si="0">$C$18*D5</f>
        <v>550.21834061135371</v>
      </c>
      <c r="G5" s="89">
        <f>F5*単価入力!B14</f>
        <v>96453.27510917031</v>
      </c>
      <c r="H5" s="67">
        <f>D5*(時間制約なし昼間!D5+時間制約なし昼間!E5+時間制約なし昼間!F5+時間制約なし昼間!G5+時間制約なし昼間!H5)</f>
        <v>22808.94</v>
      </c>
    </row>
    <row r="6" spans="1:8" x14ac:dyDescent="0.4">
      <c r="A6" s="139"/>
      <c r="B6" s="56" t="str">
        <f>単価入力!B53</f>
        <v>20㎝</v>
      </c>
      <c r="C6" s="75">
        <f>単価入力!C53</f>
        <v>925</v>
      </c>
      <c r="D6" s="106"/>
      <c r="E6" s="79">
        <f t="shared" ref="E6:E17" si="1">D6/C6</f>
        <v>0</v>
      </c>
      <c r="F6" s="81">
        <f t="shared" si="0"/>
        <v>0</v>
      </c>
      <c r="G6" s="80">
        <f>F6*単価入力!C14</f>
        <v>0</v>
      </c>
      <c r="H6" s="68">
        <f>D6*(時間制約なし昼間!D6+時間制約なし昼間!E6+時間制約なし昼間!F6+時間制約なし昼間!G6+時間制約なし昼間!H6)</f>
        <v>0</v>
      </c>
    </row>
    <row r="7" spans="1:8" x14ac:dyDescent="0.4">
      <c r="A7" s="139"/>
      <c r="B7" s="56" t="str">
        <f>単価入力!B54</f>
        <v>30㎝</v>
      </c>
      <c r="C7" s="75">
        <f>単価入力!C54</f>
        <v>625</v>
      </c>
      <c r="D7" s="106"/>
      <c r="E7" s="79">
        <f t="shared" si="1"/>
        <v>0</v>
      </c>
      <c r="F7" s="81">
        <f t="shared" si="0"/>
        <v>0</v>
      </c>
      <c r="G7" s="80">
        <f>F7*単価入力!D14</f>
        <v>0</v>
      </c>
      <c r="H7" s="68">
        <f>D7*(時間制約なし昼間!D7+時間制約なし昼間!E7+時間制約なし昼間!F7+時間制約なし昼間!G7+時間制約なし昼間!H7)</f>
        <v>0</v>
      </c>
    </row>
    <row r="8" spans="1:8" ht="19.5" thickBot="1" x14ac:dyDescent="0.45">
      <c r="A8" s="140"/>
      <c r="B8" s="59" t="str">
        <f>単価入力!B55</f>
        <v>45㎝</v>
      </c>
      <c r="C8" s="76">
        <f>単価入力!C55</f>
        <v>550</v>
      </c>
      <c r="D8" s="107"/>
      <c r="E8" s="90">
        <f t="shared" si="1"/>
        <v>0</v>
      </c>
      <c r="F8" s="91">
        <f t="shared" si="0"/>
        <v>0</v>
      </c>
      <c r="G8" s="92">
        <f>F8*単価入力!E14</f>
        <v>0</v>
      </c>
      <c r="H8" s="69">
        <f>D8*(時間制約なし昼間!D8+時間制約なし昼間!E8+時間制約なし昼間!F8+時間制約なし昼間!G8+時間制約なし昼間!H8)</f>
        <v>0</v>
      </c>
    </row>
    <row r="9" spans="1:8" x14ac:dyDescent="0.4">
      <c r="A9" s="131" t="str">
        <f>単価入力!A56</f>
        <v>破線</v>
      </c>
      <c r="B9" s="57" t="str">
        <f>単価入力!B56</f>
        <v>15㎝</v>
      </c>
      <c r="C9" s="74">
        <f>単価入力!C56</f>
        <v>900</v>
      </c>
      <c r="D9" s="105">
        <v>50</v>
      </c>
      <c r="E9" s="87">
        <f t="shared" si="1"/>
        <v>5.5555555555555552E-2</v>
      </c>
      <c r="F9" s="88">
        <f t="shared" si="0"/>
        <v>137.55458515283843</v>
      </c>
      <c r="G9" s="89">
        <f>F9*単価入力!B17</f>
        <v>26781.877729257641</v>
      </c>
      <c r="H9" s="67">
        <f>D9*(時間制約なし昼間!D9+時間制約なし昼間!E9+時間制約なし昼間!F9+時間制約なし昼間!G9+時間制約なし昼間!H9)</f>
        <v>5730.0599999999995</v>
      </c>
    </row>
    <row r="10" spans="1:8" x14ac:dyDescent="0.4">
      <c r="A10" s="139"/>
      <c r="B10" s="56" t="str">
        <f>単価入力!B57</f>
        <v>20㎝</v>
      </c>
      <c r="C10" s="75">
        <f>単価入力!C57</f>
        <v>825</v>
      </c>
      <c r="D10" s="106"/>
      <c r="E10" s="79">
        <f t="shared" si="1"/>
        <v>0</v>
      </c>
      <c r="F10" s="81">
        <f t="shared" si="0"/>
        <v>0</v>
      </c>
      <c r="G10" s="80">
        <f>F10*単価入力!C17</f>
        <v>0</v>
      </c>
      <c r="H10" s="68">
        <f>D10*(時間制約なし昼間!D10+時間制約なし昼間!E10+時間制約なし昼間!F10+時間制約なし昼間!G10+時間制約なし昼間!H10)</f>
        <v>0</v>
      </c>
    </row>
    <row r="11" spans="1:8" x14ac:dyDescent="0.4">
      <c r="A11" s="139"/>
      <c r="B11" s="56" t="str">
        <f>単価入力!B58</f>
        <v>30㎝</v>
      </c>
      <c r="C11" s="75">
        <f>単価入力!C58</f>
        <v>550</v>
      </c>
      <c r="D11" s="106"/>
      <c r="E11" s="79">
        <f t="shared" si="1"/>
        <v>0</v>
      </c>
      <c r="F11" s="81">
        <f t="shared" si="0"/>
        <v>0</v>
      </c>
      <c r="G11" s="80">
        <f>F11*単価入力!D17</f>
        <v>0</v>
      </c>
      <c r="H11" s="68">
        <f>D11*(時間制約なし昼間!D11+時間制約なし昼間!E11+時間制約なし昼間!F11+時間制約なし昼間!G11+時間制約なし昼間!H11)</f>
        <v>0</v>
      </c>
    </row>
    <row r="12" spans="1:8" ht="19.5" thickBot="1" x14ac:dyDescent="0.45">
      <c r="A12" s="140"/>
      <c r="B12" s="59" t="str">
        <f>単価入力!B59</f>
        <v>45㎝</v>
      </c>
      <c r="C12" s="76">
        <f>単価入力!C59</f>
        <v>500</v>
      </c>
      <c r="D12" s="107"/>
      <c r="E12" s="90">
        <f t="shared" si="1"/>
        <v>0</v>
      </c>
      <c r="F12" s="91">
        <f t="shared" si="0"/>
        <v>0</v>
      </c>
      <c r="G12" s="92">
        <f>F12*単価入力!E17</f>
        <v>0</v>
      </c>
      <c r="H12" s="69">
        <f>D12*(時間制約なし昼間!D12+時間制約なし昼間!E12+時間制約なし昼間!F12+時間制約なし昼間!G12+時間制約なし昼間!H12)</f>
        <v>0</v>
      </c>
    </row>
    <row r="13" spans="1:8" x14ac:dyDescent="0.4">
      <c r="A13" s="131" t="str">
        <f>単価入力!D52</f>
        <v>ゼブラ</v>
      </c>
      <c r="B13" s="57" t="str">
        <f>単価入力!E52</f>
        <v>15㎝</v>
      </c>
      <c r="C13" s="74">
        <f>単価入力!F52</f>
        <v>850</v>
      </c>
      <c r="D13" s="105"/>
      <c r="E13" s="87">
        <f t="shared" si="1"/>
        <v>0</v>
      </c>
      <c r="F13" s="88">
        <f t="shared" si="0"/>
        <v>0</v>
      </c>
      <c r="G13" s="89">
        <f>F13*単価入力!B20</f>
        <v>0</v>
      </c>
      <c r="H13" s="111">
        <f>D13*(時間制約なし昼間!D13+時間制約なし昼間!E13+時間制約なし昼間!F13+時間制約なし昼間!G13+時間制約なし昼間!H13)</f>
        <v>0</v>
      </c>
    </row>
    <row r="14" spans="1:8" x14ac:dyDescent="0.4">
      <c r="A14" s="139"/>
      <c r="B14" s="56" t="str">
        <f>単価入力!E53</f>
        <v>20㎝</v>
      </c>
      <c r="C14" s="75">
        <f>単価入力!F53</f>
        <v>775</v>
      </c>
      <c r="D14" s="106"/>
      <c r="E14" s="79">
        <f t="shared" si="1"/>
        <v>0</v>
      </c>
      <c r="F14" s="81">
        <f t="shared" si="0"/>
        <v>0</v>
      </c>
      <c r="G14" s="80">
        <f>F14*単価入力!C20</f>
        <v>0</v>
      </c>
      <c r="H14" s="111">
        <f>D14*(時間制約なし昼間!D14+時間制約なし昼間!E14+時間制約なし昼間!F14+時間制約なし昼間!G14+時間制約なし昼間!H14)</f>
        <v>0</v>
      </c>
    </row>
    <row r="15" spans="1:8" x14ac:dyDescent="0.4">
      <c r="A15" s="139"/>
      <c r="B15" s="56" t="str">
        <f>単価入力!E54</f>
        <v>30㎝</v>
      </c>
      <c r="C15" s="75">
        <f>単価入力!F54</f>
        <v>525</v>
      </c>
      <c r="D15" s="106">
        <v>10</v>
      </c>
      <c r="E15" s="79">
        <f t="shared" si="1"/>
        <v>1.9047619047619049E-2</v>
      </c>
      <c r="F15" s="81">
        <f t="shared" si="0"/>
        <v>27.510917030567686</v>
      </c>
      <c r="G15" s="80">
        <f>F15*単価入力!D20</f>
        <v>9601.3100436681234</v>
      </c>
      <c r="H15" s="111">
        <f>D15*(時間制約なし昼間!D15+時間制約なし昼間!E15+時間制約なし昼間!F15+時間制約なし昼間!G15+時間制約なし昼間!H15)</f>
        <v>2259.6419999999998</v>
      </c>
    </row>
    <row r="16" spans="1:8" ht="19.5" thickBot="1" x14ac:dyDescent="0.45">
      <c r="A16" s="140"/>
      <c r="B16" s="59" t="str">
        <f>単価入力!E55</f>
        <v>45㎝</v>
      </c>
      <c r="C16" s="76">
        <f>単価入力!F55</f>
        <v>450</v>
      </c>
      <c r="D16" s="107">
        <v>40</v>
      </c>
      <c r="E16" s="90">
        <f>D16/C16</f>
        <v>8.8888888888888892E-2</v>
      </c>
      <c r="F16" s="91">
        <f t="shared" si="0"/>
        <v>110.04366812227074</v>
      </c>
      <c r="G16" s="92">
        <f>F16*単価入力!E20</f>
        <v>42663.930131004367</v>
      </c>
      <c r="H16" s="111">
        <f>D16*(時間制約なし昼間!D16+時間制約なし昼間!E16+時間制約なし昼間!F16+時間制約なし昼間!G16+時間制約なし昼間!H16)</f>
        <v>13466.795999999998</v>
      </c>
    </row>
    <row r="17" spans="1:8" ht="19.5" thickBot="1" x14ac:dyDescent="0.45">
      <c r="A17" s="62" t="str">
        <f>単価入力!D56</f>
        <v>文字記号</v>
      </c>
      <c r="B17" s="63" t="str">
        <f>単価入力!E56</f>
        <v>15㎝換算</v>
      </c>
      <c r="C17" s="77">
        <f>単価入力!F56</f>
        <v>400</v>
      </c>
      <c r="D17" s="108"/>
      <c r="E17" s="93">
        <f t="shared" si="1"/>
        <v>0</v>
      </c>
      <c r="F17" s="94">
        <f t="shared" si="0"/>
        <v>0</v>
      </c>
      <c r="G17" s="95">
        <f>F17*単価入力!B23</f>
        <v>0</v>
      </c>
      <c r="H17" s="70">
        <f>D17*(時間制約なし昼間!D17+時間制約なし昼間!E17+時間制約なし昼間!F17+時間制約なし昼間!G17+時間制約なし昼間!H17)</f>
        <v>0</v>
      </c>
    </row>
    <row r="18" spans="1:8" ht="19.5" thickBot="1" x14ac:dyDescent="0.45">
      <c r="B18" s="71" t="s">
        <v>98</v>
      </c>
      <c r="C18" s="64">
        <f>1/E18</f>
        <v>2.7510917030567685</v>
      </c>
      <c r="E18" s="78">
        <f>SUM(E5:E17)</f>
        <v>0.36349206349206348</v>
      </c>
      <c r="F18" s="82"/>
      <c r="G18" s="72">
        <f>SUM(G5:G17)</f>
        <v>175500.39301310043</v>
      </c>
      <c r="H18" s="66">
        <f>SUM(H5:H17)</f>
        <v>44265.437999999995</v>
      </c>
    </row>
    <row r="19" spans="1:8" ht="19.5" thickBot="1" x14ac:dyDescent="0.45">
      <c r="E19" s="117" t="s">
        <v>105</v>
      </c>
      <c r="F19" s="65"/>
      <c r="G19" s="96" t="s">
        <v>102</v>
      </c>
      <c r="H19" s="83">
        <f>SUM(G18:H18)</f>
        <v>219765.83101310043</v>
      </c>
    </row>
    <row r="20" spans="1:8" x14ac:dyDescent="0.4">
      <c r="E20" s="117" t="s">
        <v>106</v>
      </c>
      <c r="F20" s="64"/>
    </row>
    <row r="22" spans="1:8" ht="19.5" thickBot="1" x14ac:dyDescent="0.45">
      <c r="A22" s="118" t="s">
        <v>107</v>
      </c>
    </row>
    <row r="23" spans="1:8" ht="38.25" thickBot="1" x14ac:dyDescent="0.45">
      <c r="A23" s="141" t="s">
        <v>94</v>
      </c>
      <c r="B23" s="142"/>
      <c r="C23" s="73" t="s">
        <v>95</v>
      </c>
      <c r="D23" s="84" t="s">
        <v>108</v>
      </c>
      <c r="E23" s="110" t="s">
        <v>97</v>
      </c>
      <c r="F23" s="85" t="s">
        <v>99</v>
      </c>
      <c r="G23" s="84" t="s">
        <v>100</v>
      </c>
      <c r="H23" s="86" t="s">
        <v>101</v>
      </c>
    </row>
    <row r="24" spans="1:8" x14ac:dyDescent="0.4">
      <c r="A24" s="136" t="str">
        <f>A5</f>
        <v>実線</v>
      </c>
      <c r="B24" s="57" t="str">
        <f>B5</f>
        <v>15㎝</v>
      </c>
      <c r="C24" s="89">
        <f>C5</f>
        <v>1000</v>
      </c>
      <c r="D24" s="119">
        <f>D5</f>
        <v>200</v>
      </c>
      <c r="E24" s="87">
        <f>D24/C24</f>
        <v>0.2</v>
      </c>
      <c r="F24" s="88">
        <f>$C$37*D24</f>
        <v>550.21834061135371</v>
      </c>
      <c r="G24" s="89">
        <f>F24*単価入力!B14/2</f>
        <v>48226.637554585155</v>
      </c>
      <c r="H24" s="67">
        <f>D24*(時間制約なし昼間!D5+時間制約なし昼間!E5+時間制約なし昼間!F5+時間制約なし昼間!G5+時間制約なし昼間!H5)</f>
        <v>22808.94</v>
      </c>
    </row>
    <row r="25" spans="1:8" x14ac:dyDescent="0.4">
      <c r="A25" s="137"/>
      <c r="B25" s="56" t="str">
        <f t="shared" ref="B25:D36" si="2">B6</f>
        <v>20㎝</v>
      </c>
      <c r="C25" s="80">
        <f t="shared" si="2"/>
        <v>925</v>
      </c>
      <c r="D25" s="18">
        <f t="shared" si="2"/>
        <v>0</v>
      </c>
      <c r="E25" s="79">
        <f t="shared" ref="E25:E36" si="3">D25/C25</f>
        <v>0</v>
      </c>
      <c r="F25" s="81">
        <f t="shared" ref="F25:F36" si="4">$C$37*D25</f>
        <v>0</v>
      </c>
      <c r="G25" s="80">
        <f>F25*単価入力!C14/2</f>
        <v>0</v>
      </c>
      <c r="H25" s="68">
        <f>D25*(時間制約なし昼間!D6+時間制約なし昼間!E6+時間制約なし昼間!F6+時間制約なし昼間!G6+時間制約なし昼間!H6)</f>
        <v>0</v>
      </c>
    </row>
    <row r="26" spans="1:8" x14ac:dyDescent="0.4">
      <c r="A26" s="137"/>
      <c r="B26" s="56" t="str">
        <f t="shared" si="2"/>
        <v>30㎝</v>
      </c>
      <c r="C26" s="80">
        <f t="shared" si="2"/>
        <v>625</v>
      </c>
      <c r="D26" s="18">
        <f t="shared" si="2"/>
        <v>0</v>
      </c>
      <c r="E26" s="79">
        <f t="shared" si="3"/>
        <v>0</v>
      </c>
      <c r="F26" s="81">
        <f t="shared" si="4"/>
        <v>0</v>
      </c>
      <c r="G26" s="80">
        <f>F26*単価入力!D14/2</f>
        <v>0</v>
      </c>
      <c r="H26" s="68">
        <f>D26*(時間制約なし昼間!D7+時間制約なし昼間!E7+時間制約なし昼間!F7+時間制約なし昼間!G7+時間制約なし昼間!H7)</f>
        <v>0</v>
      </c>
    </row>
    <row r="27" spans="1:8" ht="19.5" thickBot="1" x14ac:dyDescent="0.45">
      <c r="A27" s="138"/>
      <c r="B27" s="59" t="str">
        <f t="shared" si="2"/>
        <v>45㎝</v>
      </c>
      <c r="C27" s="92">
        <f t="shared" si="2"/>
        <v>550</v>
      </c>
      <c r="D27" s="120">
        <f t="shared" si="2"/>
        <v>0</v>
      </c>
      <c r="E27" s="90">
        <f t="shared" si="3"/>
        <v>0</v>
      </c>
      <c r="F27" s="91">
        <f t="shared" si="4"/>
        <v>0</v>
      </c>
      <c r="G27" s="92">
        <f>F27*単価入力!E14/2</f>
        <v>0</v>
      </c>
      <c r="H27" s="69">
        <f>D27*(時間制約なし昼間!D8+時間制約なし昼間!E8+時間制約なし昼間!F8+時間制約なし昼間!G8+時間制約なし昼間!H8)</f>
        <v>0</v>
      </c>
    </row>
    <row r="28" spans="1:8" x14ac:dyDescent="0.4">
      <c r="A28" s="131" t="str">
        <f>A9</f>
        <v>破線</v>
      </c>
      <c r="B28" s="57" t="str">
        <f t="shared" si="2"/>
        <v>15㎝</v>
      </c>
      <c r="C28" s="89">
        <f t="shared" si="2"/>
        <v>900</v>
      </c>
      <c r="D28" s="119">
        <f t="shared" si="2"/>
        <v>50</v>
      </c>
      <c r="E28" s="87">
        <f t="shared" si="3"/>
        <v>5.5555555555555552E-2</v>
      </c>
      <c r="F28" s="88">
        <f t="shared" si="4"/>
        <v>137.55458515283843</v>
      </c>
      <c r="G28" s="89">
        <f>F28*単価入力!B17/2</f>
        <v>13390.938864628821</v>
      </c>
      <c r="H28" s="67">
        <f>D28*(時間制約なし昼間!D9+時間制約なし昼間!E9+時間制約なし昼間!F9+時間制約なし昼間!G9+時間制約なし昼間!H9)</f>
        <v>5730.0599999999995</v>
      </c>
    </row>
    <row r="29" spans="1:8" x14ac:dyDescent="0.4">
      <c r="A29" s="139"/>
      <c r="B29" s="56" t="str">
        <f t="shared" si="2"/>
        <v>20㎝</v>
      </c>
      <c r="C29" s="80">
        <f t="shared" si="2"/>
        <v>825</v>
      </c>
      <c r="D29" s="18">
        <f t="shared" si="2"/>
        <v>0</v>
      </c>
      <c r="E29" s="79">
        <f t="shared" si="3"/>
        <v>0</v>
      </c>
      <c r="F29" s="81">
        <f t="shared" si="4"/>
        <v>0</v>
      </c>
      <c r="G29" s="80">
        <f>F29*単価入力!C17/2</f>
        <v>0</v>
      </c>
      <c r="H29" s="68">
        <f>D29*(時間制約なし昼間!D10+時間制約なし昼間!E10+時間制約なし昼間!F10+時間制約なし昼間!G10+時間制約なし昼間!H10)</f>
        <v>0</v>
      </c>
    </row>
    <row r="30" spans="1:8" x14ac:dyDescent="0.4">
      <c r="A30" s="139"/>
      <c r="B30" s="56" t="str">
        <f t="shared" si="2"/>
        <v>30㎝</v>
      </c>
      <c r="C30" s="80">
        <f t="shared" si="2"/>
        <v>550</v>
      </c>
      <c r="D30" s="18">
        <f t="shared" si="2"/>
        <v>0</v>
      </c>
      <c r="E30" s="79">
        <f t="shared" si="3"/>
        <v>0</v>
      </c>
      <c r="F30" s="81">
        <f t="shared" si="4"/>
        <v>0</v>
      </c>
      <c r="G30" s="80">
        <f>F30*単価入力!D17/2</f>
        <v>0</v>
      </c>
      <c r="H30" s="68">
        <f>D30*(時間制約なし昼間!D11+時間制約なし昼間!E11+時間制約なし昼間!F11+時間制約なし昼間!G11+時間制約なし昼間!H11)</f>
        <v>0</v>
      </c>
    </row>
    <row r="31" spans="1:8" ht="19.5" thickBot="1" x14ac:dyDescent="0.45">
      <c r="A31" s="140"/>
      <c r="B31" s="30" t="str">
        <f t="shared" si="2"/>
        <v>45㎝</v>
      </c>
      <c r="C31" s="113">
        <f t="shared" si="2"/>
        <v>500</v>
      </c>
      <c r="D31" s="120">
        <f t="shared" si="2"/>
        <v>0</v>
      </c>
      <c r="E31" s="114">
        <f t="shared" si="3"/>
        <v>0</v>
      </c>
      <c r="F31" s="115">
        <f t="shared" si="4"/>
        <v>0</v>
      </c>
      <c r="G31" s="113">
        <f>F31*単価入力!E17/2</f>
        <v>0</v>
      </c>
      <c r="H31" s="116">
        <f>D31*(時間制約なし昼間!D12+時間制約なし昼間!E12+時間制約なし昼間!F12+時間制約なし昼間!G12+時間制約なし昼間!H12)</f>
        <v>0</v>
      </c>
    </row>
    <row r="32" spans="1:8" x14ac:dyDescent="0.4">
      <c r="A32" s="131" t="str">
        <f>A13</f>
        <v>ゼブラ</v>
      </c>
      <c r="B32" s="57" t="str">
        <f t="shared" si="2"/>
        <v>15㎝</v>
      </c>
      <c r="C32" s="89">
        <f t="shared" si="2"/>
        <v>850</v>
      </c>
      <c r="D32" s="119">
        <f t="shared" si="2"/>
        <v>0</v>
      </c>
      <c r="E32" s="87">
        <f t="shared" si="3"/>
        <v>0</v>
      </c>
      <c r="F32" s="88">
        <f t="shared" si="4"/>
        <v>0</v>
      </c>
      <c r="G32" s="89">
        <f>F32*単価入力!B20/2</f>
        <v>0</v>
      </c>
      <c r="H32" s="67">
        <f>D32*(時間制約なし昼間!D13+時間制約なし昼間!E13+時間制約なし昼間!F13+時間制約なし昼間!G13+時間制約なし昼間!H13)</f>
        <v>0</v>
      </c>
    </row>
    <row r="33" spans="1:8" x14ac:dyDescent="0.4">
      <c r="A33" s="139"/>
      <c r="B33" s="56" t="str">
        <f t="shared" si="2"/>
        <v>20㎝</v>
      </c>
      <c r="C33" s="80">
        <f t="shared" si="2"/>
        <v>775</v>
      </c>
      <c r="D33" s="18">
        <f t="shared" si="2"/>
        <v>0</v>
      </c>
      <c r="E33" s="79">
        <f t="shared" si="3"/>
        <v>0</v>
      </c>
      <c r="F33" s="81">
        <f t="shared" si="4"/>
        <v>0</v>
      </c>
      <c r="G33" s="80">
        <f>F33*単価入力!C20/2</f>
        <v>0</v>
      </c>
      <c r="H33" s="68">
        <f>D33*(時間制約なし昼間!D14+時間制約なし昼間!E14+時間制約なし昼間!F14+時間制約なし昼間!G14+時間制約なし昼間!H14)</f>
        <v>0</v>
      </c>
    </row>
    <row r="34" spans="1:8" x14ac:dyDescent="0.4">
      <c r="A34" s="139"/>
      <c r="B34" s="56" t="str">
        <f t="shared" si="2"/>
        <v>30㎝</v>
      </c>
      <c r="C34" s="80">
        <f t="shared" si="2"/>
        <v>525</v>
      </c>
      <c r="D34" s="18">
        <f t="shared" si="2"/>
        <v>10</v>
      </c>
      <c r="E34" s="79">
        <f t="shared" si="3"/>
        <v>1.9047619047619049E-2</v>
      </c>
      <c r="F34" s="81">
        <f t="shared" si="4"/>
        <v>27.510917030567686</v>
      </c>
      <c r="G34" s="80">
        <f>F34*単価入力!D20/2</f>
        <v>4800.6550218340617</v>
      </c>
      <c r="H34" s="68">
        <f>D34*(時間制約なし昼間!D15+時間制約なし昼間!E15+時間制約なし昼間!F15+時間制約なし昼間!G15+時間制約なし昼間!H15)</f>
        <v>2259.6419999999998</v>
      </c>
    </row>
    <row r="35" spans="1:8" ht="19.5" thickBot="1" x14ac:dyDescent="0.45">
      <c r="A35" s="140"/>
      <c r="B35" s="59" t="str">
        <f t="shared" si="2"/>
        <v>45㎝</v>
      </c>
      <c r="C35" s="92">
        <f t="shared" si="2"/>
        <v>450</v>
      </c>
      <c r="D35" s="120">
        <f t="shared" si="2"/>
        <v>40</v>
      </c>
      <c r="E35" s="90">
        <f t="shared" si="3"/>
        <v>8.8888888888888892E-2</v>
      </c>
      <c r="F35" s="91">
        <f>$C$37*D35</f>
        <v>110.04366812227074</v>
      </c>
      <c r="G35" s="92">
        <f>F35*単価入力!E20/2</f>
        <v>21331.965065502183</v>
      </c>
      <c r="H35" s="69">
        <f>D35*(時間制約なし昼間!D16+時間制約なし昼間!E16+時間制約なし昼間!F16+時間制約なし昼間!G16+時間制約なし昼間!H16)</f>
        <v>13466.795999999998</v>
      </c>
    </row>
    <row r="36" spans="1:8" ht="19.5" thickBot="1" x14ac:dyDescent="0.45">
      <c r="A36" s="62" t="str">
        <f>A17</f>
        <v>文字記号</v>
      </c>
      <c r="B36" s="63" t="str">
        <f t="shared" si="2"/>
        <v>15㎝換算</v>
      </c>
      <c r="C36" s="95">
        <f t="shared" si="2"/>
        <v>400</v>
      </c>
      <c r="D36" s="121">
        <f t="shared" si="2"/>
        <v>0</v>
      </c>
      <c r="E36" s="93">
        <f t="shared" si="3"/>
        <v>0</v>
      </c>
      <c r="F36" s="94">
        <f t="shared" si="4"/>
        <v>0</v>
      </c>
      <c r="G36" s="95">
        <f>F36*単価入力!B23/2</f>
        <v>0</v>
      </c>
      <c r="H36" s="70">
        <f>D36*(時間制約なし昼間!D17+時間制約なし昼間!E17+時間制約なし昼間!F17+時間制約なし昼間!G17+時間制約なし昼間!H17)</f>
        <v>0</v>
      </c>
    </row>
    <row r="37" spans="1:8" ht="19.5" thickBot="1" x14ac:dyDescent="0.45">
      <c r="B37" s="71" t="s">
        <v>98</v>
      </c>
      <c r="C37" s="64">
        <f>1/E37</f>
        <v>2.7510917030567685</v>
      </c>
      <c r="E37" s="78">
        <f>SUM(E24:E36)</f>
        <v>0.36349206349206348</v>
      </c>
      <c r="F37" s="82"/>
      <c r="G37" s="72">
        <f>SUM(G24:G36)</f>
        <v>87750.196506550215</v>
      </c>
      <c r="H37" s="66">
        <f>SUM(H24:H36)</f>
        <v>44265.437999999995</v>
      </c>
    </row>
    <row r="38" spans="1:8" ht="19.5" thickBot="1" x14ac:dyDescent="0.45">
      <c r="E38" s="112"/>
      <c r="F38" s="65"/>
      <c r="G38" s="96" t="s">
        <v>102</v>
      </c>
      <c r="H38" s="83">
        <f>SUM(G37:H37)</f>
        <v>132015.63450655021</v>
      </c>
    </row>
  </sheetData>
  <mergeCells count="8">
    <mergeCell ref="A24:A27"/>
    <mergeCell ref="A28:A31"/>
    <mergeCell ref="A32:A35"/>
    <mergeCell ref="A4:B4"/>
    <mergeCell ref="A5:A8"/>
    <mergeCell ref="A9:A12"/>
    <mergeCell ref="A13:A16"/>
    <mergeCell ref="A23:B23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workbookViewId="0">
      <selection activeCell="D22" sqref="D22"/>
    </sheetView>
  </sheetViews>
  <sheetFormatPr defaultColWidth="9" defaultRowHeight="18.75" x14ac:dyDescent="0.4"/>
  <cols>
    <col min="1" max="1" width="22.125" style="1" customWidth="1"/>
    <col min="2" max="2" width="5.25" style="1" bestFit="1" customWidth="1"/>
    <col min="3" max="3" width="16.75" style="1" customWidth="1"/>
    <col min="4" max="6" width="9" style="1"/>
    <col min="7" max="7" width="9.375" style="1" bestFit="1" customWidth="1"/>
    <col min="8" max="8" width="9" style="1"/>
    <col min="9" max="9" width="9" style="17"/>
    <col min="10" max="10" width="9.75" style="1" customWidth="1"/>
    <col min="11" max="16384" width="9" style="1"/>
  </cols>
  <sheetData>
    <row r="1" spans="1:11" ht="19.5" x14ac:dyDescent="0.4">
      <c r="A1" s="12" t="s">
        <v>10</v>
      </c>
      <c r="B1" s="13"/>
      <c r="C1" s="12" t="str">
        <f>単価入力!A2</f>
        <v>建設物価調査会</v>
      </c>
      <c r="D1" s="13"/>
      <c r="E1" s="14" t="str">
        <f>単価入力!B11</f>
        <v>東京</v>
      </c>
      <c r="F1" s="3" t="s">
        <v>54</v>
      </c>
      <c r="G1" s="3"/>
      <c r="H1" s="3"/>
      <c r="I1" s="16"/>
    </row>
    <row r="2" spans="1:11" x14ac:dyDescent="0.4">
      <c r="A2" s="2"/>
      <c r="C2" s="2"/>
      <c r="E2" s="3"/>
      <c r="F2" s="3"/>
      <c r="G2" s="3"/>
      <c r="H2" s="3"/>
      <c r="I2" s="16"/>
    </row>
    <row r="3" spans="1:11" x14ac:dyDescent="0.4">
      <c r="A3" s="132" t="s">
        <v>14</v>
      </c>
      <c r="B3" s="132" t="s">
        <v>1</v>
      </c>
      <c r="C3" s="4" t="s">
        <v>3</v>
      </c>
      <c r="D3" s="135" t="s">
        <v>2</v>
      </c>
      <c r="E3" s="135"/>
      <c r="F3" s="135"/>
      <c r="G3" s="135"/>
      <c r="H3" s="135"/>
      <c r="I3" s="134" t="s">
        <v>8</v>
      </c>
      <c r="J3" s="135" t="s">
        <v>0</v>
      </c>
      <c r="K3" s="135" t="s">
        <v>9</v>
      </c>
    </row>
    <row r="4" spans="1:11" x14ac:dyDescent="0.4">
      <c r="A4" s="133"/>
      <c r="B4" s="133"/>
      <c r="C4" s="5" t="s">
        <v>11</v>
      </c>
      <c r="D4" s="42" t="s">
        <v>4</v>
      </c>
      <c r="E4" s="42" t="s">
        <v>5</v>
      </c>
      <c r="F4" s="11" t="s">
        <v>6</v>
      </c>
      <c r="G4" s="42" t="s">
        <v>13</v>
      </c>
      <c r="H4" s="42" t="s">
        <v>7</v>
      </c>
      <c r="I4" s="134"/>
      <c r="J4" s="135"/>
      <c r="K4" s="135"/>
    </row>
    <row r="5" spans="1:11" x14ac:dyDescent="0.4">
      <c r="A5" s="9" t="s">
        <v>15</v>
      </c>
      <c r="B5" s="42" t="s">
        <v>12</v>
      </c>
      <c r="C5" s="42">
        <f>単価入力!H14</f>
        <v>354.8</v>
      </c>
      <c r="D5" s="42">
        <f>単価入力!E5*0.57</f>
        <v>91.199999999999989</v>
      </c>
      <c r="E5" s="42">
        <f>単価入力!E7*0.025</f>
        <v>3.75</v>
      </c>
      <c r="F5" s="42">
        <f>単価入力!E6*0.025</f>
        <v>9</v>
      </c>
      <c r="G5" s="42">
        <f>単価入力!E8*0.044</f>
        <v>4.6639999999999997</v>
      </c>
      <c r="H5" s="8">
        <f>(D5+E5+F5+G5)*0.05</f>
        <v>5.4306999999999999</v>
      </c>
      <c r="I5" s="41">
        <f>SUM(C5:H5)</f>
        <v>468.84469999999999</v>
      </c>
      <c r="J5" s="47">
        <v>294</v>
      </c>
      <c r="K5" s="7">
        <f>I5/J5</f>
        <v>1.5947098639455781</v>
      </c>
    </row>
    <row r="6" spans="1:11" x14ac:dyDescent="0.4">
      <c r="A6" s="9" t="s">
        <v>16</v>
      </c>
      <c r="B6" s="42" t="s">
        <v>12</v>
      </c>
      <c r="C6" s="42">
        <f>単価入力!I14</f>
        <v>268.2</v>
      </c>
      <c r="D6" s="42">
        <f>単価入力!E5*0.76</f>
        <v>121.6</v>
      </c>
      <c r="E6" s="42">
        <f>単価入力!E7*0.033</f>
        <v>4.95</v>
      </c>
      <c r="F6" s="42">
        <f>単価入力!E6*0.033</f>
        <v>11.88</v>
      </c>
      <c r="G6" s="42">
        <f>単価入力!E8*0.048</f>
        <v>5.0880000000000001</v>
      </c>
      <c r="H6" s="8">
        <f t="shared" ref="H6:H17" si="0">(D6+E6+F6+G6)*0.05</f>
        <v>7.1759000000000004</v>
      </c>
      <c r="I6" s="41">
        <f t="shared" ref="I6:I17" si="1">SUM(C6:H6)</f>
        <v>418.89389999999997</v>
      </c>
      <c r="J6" s="47">
        <v>348</v>
      </c>
      <c r="K6" s="7">
        <f t="shared" ref="K6:K17" si="2">I6/J6</f>
        <v>1.2037181034482758</v>
      </c>
    </row>
    <row r="7" spans="1:11" x14ac:dyDescent="0.4">
      <c r="A7" s="9" t="s">
        <v>17</v>
      </c>
      <c r="B7" s="42" t="s">
        <v>12</v>
      </c>
      <c r="C7" s="42">
        <f>単価入力!J14</f>
        <v>423.3</v>
      </c>
      <c r="D7" s="42">
        <f>単価入力!E5*1.13</f>
        <v>180.79999999999998</v>
      </c>
      <c r="E7" s="42">
        <f>単価入力!E7*0.05</f>
        <v>7.5</v>
      </c>
      <c r="F7" s="42">
        <f>単価入力!E6*0.05</f>
        <v>18</v>
      </c>
      <c r="G7" s="42">
        <f>単価入力!E8*0.071</f>
        <v>7.5259999999999989</v>
      </c>
      <c r="H7" s="8">
        <f t="shared" si="0"/>
        <v>10.6913</v>
      </c>
      <c r="I7" s="41">
        <f t="shared" si="1"/>
        <v>647.81729999999993</v>
      </c>
      <c r="J7" s="47">
        <v>528</v>
      </c>
      <c r="K7" s="7">
        <f t="shared" si="2"/>
        <v>1.2269267045454544</v>
      </c>
    </row>
    <row r="8" spans="1:11" x14ac:dyDescent="0.4">
      <c r="A8" s="9" t="s">
        <v>18</v>
      </c>
      <c r="B8" s="42" t="s">
        <v>12</v>
      </c>
      <c r="C8" s="42">
        <f>単価入力!K14</f>
        <v>461.8</v>
      </c>
      <c r="D8" s="42">
        <f>単価入力!E5*1.7</f>
        <v>272</v>
      </c>
      <c r="E8" s="42">
        <f>単価入力!E7*0.075</f>
        <v>11.25</v>
      </c>
      <c r="F8" s="42">
        <f>単価入力!E6*0.075</f>
        <v>27</v>
      </c>
      <c r="G8" s="42">
        <f>単価入力!E8*0.08</f>
        <v>8.48</v>
      </c>
      <c r="H8" s="8">
        <f t="shared" si="0"/>
        <v>15.936500000000002</v>
      </c>
      <c r="I8" s="41">
        <f t="shared" si="1"/>
        <v>796.4665</v>
      </c>
      <c r="J8" s="47">
        <v>702</v>
      </c>
      <c r="K8" s="7">
        <f t="shared" si="2"/>
        <v>1.1345676638176638</v>
      </c>
    </row>
    <row r="9" spans="1:11" x14ac:dyDescent="0.4">
      <c r="A9" s="9" t="s">
        <v>19</v>
      </c>
      <c r="B9" s="42" t="s">
        <v>12</v>
      </c>
      <c r="C9" s="42">
        <f>単価入力!H17</f>
        <v>283.10000000000002</v>
      </c>
      <c r="D9" s="42">
        <f>単価入力!E5*0.57</f>
        <v>91.199999999999989</v>
      </c>
      <c r="E9" s="42">
        <f>単価入力!E7*0.025</f>
        <v>3.75</v>
      </c>
      <c r="F9" s="42">
        <f>単価入力!E6*0.025</f>
        <v>9</v>
      </c>
      <c r="G9" s="42">
        <f>単価入力!E8*0.049</f>
        <v>5.194</v>
      </c>
      <c r="H9" s="8">
        <f t="shared" si="0"/>
        <v>5.4572000000000003</v>
      </c>
      <c r="I9" s="41">
        <f t="shared" si="1"/>
        <v>397.70120000000003</v>
      </c>
      <c r="J9" s="47">
        <v>306</v>
      </c>
      <c r="K9" s="7">
        <f t="shared" si="2"/>
        <v>1.2996771241830067</v>
      </c>
    </row>
    <row r="10" spans="1:11" x14ac:dyDescent="0.4">
      <c r="A10" s="9" t="s">
        <v>20</v>
      </c>
      <c r="B10" s="42" t="s">
        <v>12</v>
      </c>
      <c r="C10" s="42">
        <f>単価入力!I17</f>
        <v>299.7</v>
      </c>
      <c r="D10" s="42">
        <f>単価入力!E5*0.76</f>
        <v>121.6</v>
      </c>
      <c r="E10" s="42">
        <f>単価入力!E7*0.033</f>
        <v>4.95</v>
      </c>
      <c r="F10" s="42">
        <f>単価入力!E6*0.033</f>
        <v>11.88</v>
      </c>
      <c r="G10" s="42">
        <f>単価入力!E8*0.054</f>
        <v>5.7240000000000002</v>
      </c>
      <c r="H10" s="8">
        <f t="shared" si="0"/>
        <v>7.2077</v>
      </c>
      <c r="I10" s="41">
        <f t="shared" si="1"/>
        <v>451.06169999999992</v>
      </c>
      <c r="J10" s="47">
        <v>366</v>
      </c>
      <c r="K10" s="7">
        <f t="shared" si="2"/>
        <v>1.2324090163934425</v>
      </c>
    </row>
    <row r="11" spans="1:11" x14ac:dyDescent="0.4">
      <c r="A11" s="9" t="s">
        <v>21</v>
      </c>
      <c r="B11" s="42" t="s">
        <v>12</v>
      </c>
      <c r="C11" s="42">
        <f>単価入力!J17</f>
        <v>461.8</v>
      </c>
      <c r="D11" s="42">
        <f>単価入力!E5*1.13</f>
        <v>180.79999999999998</v>
      </c>
      <c r="E11" s="42">
        <f>単価入力!E7*0.05</f>
        <v>7.5</v>
      </c>
      <c r="F11" s="42">
        <f>単価入力!E6*0.05</f>
        <v>18</v>
      </c>
      <c r="G11" s="42">
        <f>単価入力!E8*0.08</f>
        <v>8.48</v>
      </c>
      <c r="H11" s="8">
        <f t="shared" si="0"/>
        <v>10.738999999999999</v>
      </c>
      <c r="I11" s="41">
        <f t="shared" si="1"/>
        <v>687.31900000000007</v>
      </c>
      <c r="J11" s="47">
        <v>552</v>
      </c>
      <c r="K11" s="7">
        <f t="shared" si="2"/>
        <v>1.2451431159420292</v>
      </c>
    </row>
    <row r="12" spans="1:11" x14ac:dyDescent="0.4">
      <c r="A12" s="9" t="s">
        <v>22</v>
      </c>
      <c r="B12" s="42" t="s">
        <v>12</v>
      </c>
      <c r="C12" s="42">
        <f>単価入力!K17</f>
        <v>508</v>
      </c>
      <c r="D12" s="42">
        <f>単価入力!E5*1.7</f>
        <v>272</v>
      </c>
      <c r="E12" s="42">
        <f>単価入力!E7*0.075</f>
        <v>11.25</v>
      </c>
      <c r="F12" s="42">
        <f>単価入力!E6*0.075</f>
        <v>27</v>
      </c>
      <c r="G12" s="42">
        <f>単価入力!E8*0.088</f>
        <v>9.3279999999999994</v>
      </c>
      <c r="H12" s="8">
        <f t="shared" si="0"/>
        <v>15.978899999999999</v>
      </c>
      <c r="I12" s="41">
        <f t="shared" si="1"/>
        <v>843.55689999999993</v>
      </c>
      <c r="J12" s="47">
        <v>714</v>
      </c>
      <c r="K12" s="7">
        <f t="shared" si="2"/>
        <v>1.1814522408963584</v>
      </c>
    </row>
    <row r="13" spans="1:11" x14ac:dyDescent="0.4">
      <c r="A13" s="9" t="s">
        <v>23</v>
      </c>
      <c r="B13" s="42" t="s">
        <v>12</v>
      </c>
      <c r="C13" s="42">
        <f>単価入力!H20</f>
        <v>299.7</v>
      </c>
      <c r="D13" s="42">
        <f>単価入力!E5*0.57</f>
        <v>91.199999999999989</v>
      </c>
      <c r="E13" s="42">
        <f>単価入力!E7*0.025</f>
        <v>3.75</v>
      </c>
      <c r="F13" s="42">
        <f>単価入力!E6*0.025</f>
        <v>9</v>
      </c>
      <c r="G13" s="42">
        <f>単価入力!E8*0.052</f>
        <v>5.5119999999999996</v>
      </c>
      <c r="H13" s="8">
        <f t="shared" si="0"/>
        <v>5.4730999999999996</v>
      </c>
      <c r="I13" s="41">
        <f t="shared" si="1"/>
        <v>414.63509999999997</v>
      </c>
      <c r="J13" s="47">
        <v>294</v>
      </c>
      <c r="K13" s="7">
        <f t="shared" si="2"/>
        <v>1.4103234693877549</v>
      </c>
    </row>
    <row r="14" spans="1:11" x14ac:dyDescent="0.4">
      <c r="A14" s="9" t="s">
        <v>24</v>
      </c>
      <c r="B14" s="42" t="s">
        <v>12</v>
      </c>
      <c r="C14" s="42">
        <f>単価入力!I20</f>
        <v>318.5</v>
      </c>
      <c r="D14" s="42">
        <f>単価入力!E5*0.76</f>
        <v>121.6</v>
      </c>
      <c r="E14" s="42">
        <f>単価入力!E7*0.033</f>
        <v>4.95</v>
      </c>
      <c r="F14" s="42">
        <f>単価入力!E6*0.033</f>
        <v>11.88</v>
      </c>
      <c r="G14" s="42">
        <f>単価入力!E8*0.057</f>
        <v>6.0419999999999998</v>
      </c>
      <c r="H14" s="8">
        <f t="shared" si="0"/>
        <v>7.2236000000000011</v>
      </c>
      <c r="I14" s="41">
        <f t="shared" si="1"/>
        <v>470.19559999999996</v>
      </c>
      <c r="J14" s="47">
        <v>348</v>
      </c>
      <c r="K14" s="7">
        <f t="shared" si="2"/>
        <v>1.3511367816091953</v>
      </c>
    </row>
    <row r="15" spans="1:11" x14ac:dyDescent="0.4">
      <c r="A15" s="9" t="s">
        <v>25</v>
      </c>
      <c r="B15" s="42" t="s">
        <v>12</v>
      </c>
      <c r="C15" s="42">
        <f>単価入力!J20</f>
        <v>508</v>
      </c>
      <c r="D15" s="42">
        <f>単価入力!E5*1.13</f>
        <v>180.79999999999998</v>
      </c>
      <c r="E15" s="42">
        <f>単価入力!E7*0.05</f>
        <v>7.5</v>
      </c>
      <c r="F15" s="42">
        <f>単価入力!E6*0.05</f>
        <v>18</v>
      </c>
      <c r="G15" s="42">
        <f>単価入力!E8*0.084</f>
        <v>8.9039999999999999</v>
      </c>
      <c r="H15" s="8">
        <f t="shared" si="0"/>
        <v>10.760199999999999</v>
      </c>
      <c r="I15" s="41">
        <f t="shared" si="1"/>
        <v>733.96420000000001</v>
      </c>
      <c r="J15" s="47">
        <v>528</v>
      </c>
      <c r="K15" s="7">
        <f t="shared" si="2"/>
        <v>1.3900837121212122</v>
      </c>
    </row>
    <row r="16" spans="1:11" x14ac:dyDescent="0.4">
      <c r="A16" s="9" t="s">
        <v>26</v>
      </c>
      <c r="B16" s="42" t="s">
        <v>12</v>
      </c>
      <c r="C16" s="42">
        <f>単価入力!K20</f>
        <v>564.4</v>
      </c>
      <c r="D16" s="42">
        <f>単価入力!E5*1.7</f>
        <v>272</v>
      </c>
      <c r="E16" s="42">
        <f>単価入力!E7*0.075</f>
        <v>11.25</v>
      </c>
      <c r="F16" s="42">
        <f>単価入力!E6*0.075</f>
        <v>27</v>
      </c>
      <c r="G16" s="42">
        <f>単価入力!E8*0.098</f>
        <v>10.388</v>
      </c>
      <c r="H16" s="8">
        <f t="shared" si="0"/>
        <v>16.0319</v>
      </c>
      <c r="I16" s="41">
        <f t="shared" si="1"/>
        <v>901.06989999999996</v>
      </c>
      <c r="J16" s="47">
        <v>702</v>
      </c>
      <c r="K16" s="7">
        <f t="shared" si="2"/>
        <v>1.283575356125356</v>
      </c>
    </row>
    <row r="17" spans="1:11" x14ac:dyDescent="0.4">
      <c r="A17" s="9" t="s">
        <v>27</v>
      </c>
      <c r="B17" s="42" t="s">
        <v>12</v>
      </c>
      <c r="C17" s="42">
        <f>単価入力!H23</f>
        <v>637</v>
      </c>
      <c r="D17" s="42">
        <f>単価入力!E5*0.57</f>
        <v>91.199999999999989</v>
      </c>
      <c r="E17" s="42">
        <f>単価入力!E7*0.025</f>
        <v>3.75</v>
      </c>
      <c r="F17" s="42">
        <f>単価入力!E6*0.025</f>
        <v>9</v>
      </c>
      <c r="G17" s="42">
        <f>単価入力!E8*0.1</f>
        <v>10.600000000000001</v>
      </c>
      <c r="H17" s="8">
        <f t="shared" si="0"/>
        <v>5.7274999999999991</v>
      </c>
      <c r="I17" s="41">
        <f t="shared" si="1"/>
        <v>757.27750000000003</v>
      </c>
      <c r="J17" s="47">
        <v>576</v>
      </c>
      <c r="K17" s="7">
        <f t="shared" si="2"/>
        <v>1.3147178819444445</v>
      </c>
    </row>
    <row r="18" spans="1:11" x14ac:dyDescent="0.4">
      <c r="A18" s="9"/>
      <c r="B18" s="42"/>
      <c r="C18" s="42"/>
      <c r="D18" s="42"/>
      <c r="E18" s="42"/>
      <c r="F18" s="42"/>
      <c r="G18" s="42"/>
      <c r="H18" s="42"/>
      <c r="I18" s="18"/>
      <c r="J18" s="42"/>
      <c r="K18" s="42"/>
    </row>
    <row r="19" spans="1:11" x14ac:dyDescent="0.4">
      <c r="A19" s="2"/>
    </row>
    <row r="20" spans="1:11" x14ac:dyDescent="0.4">
      <c r="A20" s="2"/>
    </row>
    <row r="21" spans="1:11" x14ac:dyDescent="0.4">
      <c r="A21" s="2"/>
    </row>
    <row r="22" spans="1:11" x14ac:dyDescent="0.4">
      <c r="A22" s="2"/>
    </row>
  </sheetData>
  <mergeCells count="6">
    <mergeCell ref="K3:K4"/>
    <mergeCell ref="A3:A4"/>
    <mergeCell ref="B3:B4"/>
    <mergeCell ref="D3:H3"/>
    <mergeCell ref="I3:I4"/>
    <mergeCell ref="J3:J4"/>
  </mergeCells>
  <phoneticPr fontId="2"/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2"/>
  <sheetViews>
    <sheetView workbookViewId="0">
      <selection activeCell="B25" sqref="B25"/>
    </sheetView>
  </sheetViews>
  <sheetFormatPr defaultColWidth="9" defaultRowHeight="18.75" x14ac:dyDescent="0.4"/>
  <cols>
    <col min="1" max="1" width="22.125" style="1" customWidth="1"/>
    <col min="2" max="2" width="5.25" style="1" bestFit="1" customWidth="1"/>
    <col min="3" max="3" width="16.75" style="1" customWidth="1"/>
    <col min="4" max="6" width="9" style="1"/>
    <col min="7" max="7" width="9.375" style="1" bestFit="1" customWidth="1"/>
    <col min="8" max="8" width="9" style="1"/>
    <col min="9" max="9" width="9" style="17"/>
    <col min="10" max="10" width="9.75" style="1" customWidth="1"/>
    <col min="11" max="16384" width="9" style="1"/>
  </cols>
  <sheetData>
    <row r="1" spans="1:11" ht="19.5" x14ac:dyDescent="0.4">
      <c r="A1" s="12" t="s">
        <v>10</v>
      </c>
      <c r="B1" s="13"/>
      <c r="C1" s="12" t="str">
        <f>単価入力!A2</f>
        <v>建設物価調査会</v>
      </c>
      <c r="D1" s="13"/>
      <c r="E1" s="14" t="str">
        <f>単価入力!B11</f>
        <v>東京</v>
      </c>
      <c r="F1" s="3" t="s">
        <v>56</v>
      </c>
      <c r="G1" s="3"/>
      <c r="H1" s="3"/>
      <c r="I1" s="16"/>
    </row>
    <row r="2" spans="1:11" x14ac:dyDescent="0.4">
      <c r="A2" s="2"/>
      <c r="C2" s="2"/>
      <c r="E2" s="3"/>
      <c r="F2" s="3"/>
      <c r="G2" s="3"/>
      <c r="H2" s="3"/>
      <c r="I2" s="16"/>
    </row>
    <row r="3" spans="1:11" x14ac:dyDescent="0.4">
      <c r="A3" s="132" t="s">
        <v>14</v>
      </c>
      <c r="B3" s="132" t="s">
        <v>1</v>
      </c>
      <c r="C3" s="4" t="s">
        <v>3</v>
      </c>
      <c r="D3" s="135" t="s">
        <v>2</v>
      </c>
      <c r="E3" s="135"/>
      <c r="F3" s="135"/>
      <c r="G3" s="135"/>
      <c r="H3" s="135"/>
      <c r="I3" s="134" t="s">
        <v>8</v>
      </c>
      <c r="J3" s="135" t="s">
        <v>0</v>
      </c>
      <c r="K3" s="135" t="s">
        <v>9</v>
      </c>
    </row>
    <row r="4" spans="1:11" x14ac:dyDescent="0.4">
      <c r="A4" s="133"/>
      <c r="B4" s="133"/>
      <c r="C4" s="5" t="s">
        <v>11</v>
      </c>
      <c r="D4" s="44" t="s">
        <v>4</v>
      </c>
      <c r="E4" s="44" t="s">
        <v>5</v>
      </c>
      <c r="F4" s="11" t="s">
        <v>6</v>
      </c>
      <c r="G4" s="44" t="s">
        <v>13</v>
      </c>
      <c r="H4" s="44" t="s">
        <v>7</v>
      </c>
      <c r="I4" s="134"/>
      <c r="J4" s="135"/>
      <c r="K4" s="135"/>
    </row>
    <row r="5" spans="1:11" x14ac:dyDescent="0.4">
      <c r="A5" s="9" t="s">
        <v>15</v>
      </c>
      <c r="B5" s="44" t="s">
        <v>12</v>
      </c>
      <c r="C5" s="44">
        <f>単価入力!B14*1.05</f>
        <v>184.06500000000003</v>
      </c>
      <c r="D5" s="44">
        <f>単価入力!E5*0.855</f>
        <v>136.80000000000001</v>
      </c>
      <c r="E5" s="44">
        <f>単価入力!E7*0.025</f>
        <v>3.75</v>
      </c>
      <c r="F5" s="44">
        <f>単価入力!E6*0.025</f>
        <v>9</v>
      </c>
      <c r="G5" s="44">
        <f>単価入力!E8*0.046</f>
        <v>4.8760000000000003</v>
      </c>
      <c r="H5" s="8">
        <f>(D5+E5+F5+G5)*0.05</f>
        <v>7.7213000000000012</v>
      </c>
      <c r="I5" s="43">
        <f>SUM(C5:H5)</f>
        <v>346.21229999999997</v>
      </c>
      <c r="J5" s="47">
        <v>294</v>
      </c>
      <c r="K5" s="7">
        <f>I5/J5</f>
        <v>1.1775928571428571</v>
      </c>
    </row>
    <row r="6" spans="1:11" x14ac:dyDescent="0.4">
      <c r="A6" s="9" t="s">
        <v>16</v>
      </c>
      <c r="B6" s="44" t="s">
        <v>12</v>
      </c>
      <c r="C6" s="44">
        <f>単価入力!C14*1.05</f>
        <v>207.48</v>
      </c>
      <c r="D6" s="44">
        <f>単価入力!E5*1.14</f>
        <v>182.39999999999998</v>
      </c>
      <c r="E6" s="44">
        <f>単価入力!E7*0.033</f>
        <v>4.95</v>
      </c>
      <c r="F6" s="44">
        <f>単価入力!E6*0.033</f>
        <v>11.88</v>
      </c>
      <c r="G6" s="44">
        <f>単価入力!E8*0.05</f>
        <v>5.3000000000000007</v>
      </c>
      <c r="H6" s="8">
        <f t="shared" ref="H6:H17" si="0">(D6+E6+F6+G6)*0.05</f>
        <v>10.2265</v>
      </c>
      <c r="I6" s="43">
        <f t="shared" ref="I6:I17" si="1">SUM(C6:H6)</f>
        <v>422.23649999999998</v>
      </c>
      <c r="J6" s="47">
        <v>348</v>
      </c>
      <c r="K6" s="7">
        <f t="shared" ref="K6:K17" si="2">I6/J6</f>
        <v>1.2133232758620689</v>
      </c>
    </row>
    <row r="7" spans="1:11" x14ac:dyDescent="0.4">
      <c r="A7" s="9" t="s">
        <v>17</v>
      </c>
      <c r="B7" s="44" t="s">
        <v>12</v>
      </c>
      <c r="C7" s="44">
        <f>単価入力!D14*1.05</f>
        <v>305.34000000000003</v>
      </c>
      <c r="D7" s="44">
        <f>単価入力!E5*1.695</f>
        <v>271.2</v>
      </c>
      <c r="E7" s="44">
        <f>単価入力!E7*0.05</f>
        <v>7.5</v>
      </c>
      <c r="F7" s="44">
        <f>単価入力!E6*0.05</f>
        <v>18</v>
      </c>
      <c r="G7" s="44">
        <f>単価入力!E8*0.074</f>
        <v>7.8439999999999994</v>
      </c>
      <c r="H7" s="8">
        <f t="shared" si="0"/>
        <v>15.2272</v>
      </c>
      <c r="I7" s="43">
        <f t="shared" si="1"/>
        <v>625.11120000000005</v>
      </c>
      <c r="J7" s="47">
        <v>528</v>
      </c>
      <c r="K7" s="7">
        <f t="shared" si="2"/>
        <v>1.1839227272727273</v>
      </c>
    </row>
    <row r="8" spans="1:11" x14ac:dyDescent="0.4">
      <c r="A8" s="9" t="s">
        <v>18</v>
      </c>
      <c r="B8" s="44" t="s">
        <v>12</v>
      </c>
      <c r="C8" s="44">
        <f>単価入力!E14*1.05</f>
        <v>333.06</v>
      </c>
      <c r="D8" s="44">
        <f>単価入力!E5*2.55</f>
        <v>408</v>
      </c>
      <c r="E8" s="44">
        <f>単価入力!E7*0.075</f>
        <v>11.25</v>
      </c>
      <c r="F8" s="44">
        <f>単価入力!E6*0.075</f>
        <v>27</v>
      </c>
      <c r="G8" s="44">
        <f>単価入力!E8*0.084</f>
        <v>8.9039999999999999</v>
      </c>
      <c r="H8" s="8">
        <f t="shared" si="0"/>
        <v>22.7577</v>
      </c>
      <c r="I8" s="43">
        <f t="shared" si="1"/>
        <v>810.97169999999994</v>
      </c>
      <c r="J8" s="47">
        <v>702</v>
      </c>
      <c r="K8" s="7">
        <f t="shared" si="2"/>
        <v>1.1552303418803418</v>
      </c>
    </row>
    <row r="9" spans="1:11" x14ac:dyDescent="0.4">
      <c r="A9" s="9" t="s">
        <v>19</v>
      </c>
      <c r="B9" s="44" t="s">
        <v>12</v>
      </c>
      <c r="C9" s="44">
        <f>単価入力!B17*1.05</f>
        <v>204.435</v>
      </c>
      <c r="D9" s="44">
        <f>単価入力!E5*0.855</f>
        <v>136.80000000000001</v>
      </c>
      <c r="E9" s="44">
        <f>単価入力!E7*0.025</f>
        <v>3.75</v>
      </c>
      <c r="F9" s="44">
        <f>単価入力!E6*0.025</f>
        <v>9</v>
      </c>
      <c r="G9" s="44">
        <f>単価入力!E8*0.051</f>
        <v>5.4059999999999997</v>
      </c>
      <c r="H9" s="8">
        <f t="shared" si="0"/>
        <v>7.7478000000000016</v>
      </c>
      <c r="I9" s="43">
        <f t="shared" si="1"/>
        <v>367.1388</v>
      </c>
      <c r="J9" s="47">
        <v>306</v>
      </c>
      <c r="K9" s="7">
        <f t="shared" si="2"/>
        <v>1.1998</v>
      </c>
    </row>
    <row r="10" spans="1:11" x14ac:dyDescent="0.4">
      <c r="A10" s="9" t="s">
        <v>20</v>
      </c>
      <c r="B10" s="44" t="s">
        <v>12</v>
      </c>
      <c r="C10" s="44">
        <f>単価入力!C17*1.05</f>
        <v>216.51</v>
      </c>
      <c r="D10" s="44">
        <f>単価入力!E5*1.14</f>
        <v>182.39999999999998</v>
      </c>
      <c r="E10" s="44">
        <f>単価入力!E7*0.033</f>
        <v>4.95</v>
      </c>
      <c r="F10" s="44">
        <f>単価入力!E6*0.033</f>
        <v>11.88</v>
      </c>
      <c r="G10" s="44">
        <f>単価入力!E8*0.056</f>
        <v>5.9359999999999999</v>
      </c>
      <c r="H10" s="8">
        <f t="shared" si="0"/>
        <v>10.258299999999998</v>
      </c>
      <c r="I10" s="43">
        <f t="shared" si="1"/>
        <v>431.93429999999995</v>
      </c>
      <c r="J10" s="47">
        <v>366</v>
      </c>
      <c r="K10" s="7">
        <f t="shared" si="2"/>
        <v>1.1801483606557375</v>
      </c>
    </row>
    <row r="11" spans="1:11" x14ac:dyDescent="0.4">
      <c r="A11" s="9" t="s">
        <v>21</v>
      </c>
      <c r="B11" s="44" t="s">
        <v>12</v>
      </c>
      <c r="C11" s="44">
        <f>単価入力!D17*1.05</f>
        <v>333.06</v>
      </c>
      <c r="D11" s="44">
        <f>単価入力!E5*1.695</f>
        <v>271.2</v>
      </c>
      <c r="E11" s="44">
        <f>単価入力!E7*0.05</f>
        <v>7.5</v>
      </c>
      <c r="F11" s="44">
        <f>単価入力!E6*0.05</f>
        <v>18</v>
      </c>
      <c r="G11" s="44">
        <f>単価入力!E8*0.084</f>
        <v>8.9039999999999999</v>
      </c>
      <c r="H11" s="8">
        <f t="shared" si="0"/>
        <v>15.280200000000001</v>
      </c>
      <c r="I11" s="43">
        <f t="shared" si="1"/>
        <v>653.94420000000002</v>
      </c>
      <c r="J11" s="47">
        <v>552</v>
      </c>
      <c r="K11" s="7">
        <f t="shared" si="2"/>
        <v>1.1846815217391304</v>
      </c>
    </row>
    <row r="12" spans="1:11" x14ac:dyDescent="0.4">
      <c r="A12" s="9" t="s">
        <v>22</v>
      </c>
      <c r="B12" s="44" t="s">
        <v>12</v>
      </c>
      <c r="C12" s="44">
        <f>単価入力!E17*1.05</f>
        <v>366.45</v>
      </c>
      <c r="D12" s="44">
        <f>単価入力!E5*2.55</f>
        <v>408</v>
      </c>
      <c r="E12" s="44">
        <f>単価入力!E7*0.075</f>
        <v>11.25</v>
      </c>
      <c r="F12" s="44">
        <f>単価入力!E6*0.075</f>
        <v>27</v>
      </c>
      <c r="G12" s="44">
        <f>単価入力!E8*0.093</f>
        <v>9.8580000000000005</v>
      </c>
      <c r="H12" s="8">
        <f t="shared" si="0"/>
        <v>22.805400000000002</v>
      </c>
      <c r="I12" s="43">
        <f t="shared" si="1"/>
        <v>845.36339999999996</v>
      </c>
      <c r="J12" s="47">
        <v>714</v>
      </c>
      <c r="K12" s="7">
        <f t="shared" si="2"/>
        <v>1.1839823529411764</v>
      </c>
    </row>
    <row r="13" spans="1:11" x14ac:dyDescent="0.4">
      <c r="A13" s="9" t="s">
        <v>23</v>
      </c>
      <c r="B13" s="44" t="s">
        <v>12</v>
      </c>
      <c r="C13" s="44">
        <f>単価入力!B20*1.05</f>
        <v>216.51</v>
      </c>
      <c r="D13" s="44">
        <f>単価入力!E5*0.855</f>
        <v>136.80000000000001</v>
      </c>
      <c r="E13" s="44">
        <f>単価入力!E7*0.025</f>
        <v>3.75</v>
      </c>
      <c r="F13" s="44">
        <f>単価入力!E6*0.025</f>
        <v>9</v>
      </c>
      <c r="G13" s="44">
        <f>単価入力!E8*0.054</f>
        <v>5.7240000000000002</v>
      </c>
      <c r="H13" s="8">
        <f t="shared" si="0"/>
        <v>7.7637</v>
      </c>
      <c r="I13" s="43">
        <f t="shared" si="1"/>
        <v>379.54769999999996</v>
      </c>
      <c r="J13" s="47">
        <v>294</v>
      </c>
      <c r="K13" s="7">
        <f t="shared" si="2"/>
        <v>1.2909785714285713</v>
      </c>
    </row>
    <row r="14" spans="1:11" x14ac:dyDescent="0.4">
      <c r="A14" s="9" t="s">
        <v>24</v>
      </c>
      <c r="B14" s="44" t="s">
        <v>12</v>
      </c>
      <c r="C14" s="44">
        <f>単価入力!C20*1.05</f>
        <v>230.37</v>
      </c>
      <c r="D14" s="44">
        <f>単価入力!E5*1.14</f>
        <v>182.39999999999998</v>
      </c>
      <c r="E14" s="44">
        <f>単価入力!E7*0.033</f>
        <v>4.95</v>
      </c>
      <c r="F14" s="44">
        <f>単価入力!E6*0.033</f>
        <v>11.88</v>
      </c>
      <c r="G14" s="44">
        <f>単価入力!E8*0.06</f>
        <v>6.3599999999999994</v>
      </c>
      <c r="H14" s="8">
        <f t="shared" si="0"/>
        <v>10.279499999999999</v>
      </c>
      <c r="I14" s="43">
        <f t="shared" si="1"/>
        <v>446.23949999999996</v>
      </c>
      <c r="J14" s="47">
        <v>348</v>
      </c>
      <c r="K14" s="7">
        <f t="shared" si="2"/>
        <v>1.2822974137931034</v>
      </c>
    </row>
    <row r="15" spans="1:11" x14ac:dyDescent="0.4">
      <c r="A15" s="9" t="s">
        <v>25</v>
      </c>
      <c r="B15" s="44" t="s">
        <v>12</v>
      </c>
      <c r="C15" s="44">
        <f>単価入力!D20*1.05</f>
        <v>366.45</v>
      </c>
      <c r="D15" s="44">
        <f>単価入力!E5*1.695</f>
        <v>271.2</v>
      </c>
      <c r="E15" s="44">
        <f>単価入力!E7*0.05</f>
        <v>7.5</v>
      </c>
      <c r="F15" s="44">
        <f>単価入力!E6*0.05</f>
        <v>18</v>
      </c>
      <c r="G15" s="44">
        <f>単価入力!E8*0.089</f>
        <v>9.4339999999999993</v>
      </c>
      <c r="H15" s="8">
        <f t="shared" si="0"/>
        <v>15.306700000000001</v>
      </c>
      <c r="I15" s="43">
        <f t="shared" si="1"/>
        <v>687.89069999999992</v>
      </c>
      <c r="J15" s="47">
        <v>528</v>
      </c>
      <c r="K15" s="7">
        <f t="shared" si="2"/>
        <v>1.3028232954545453</v>
      </c>
    </row>
    <row r="16" spans="1:11" x14ac:dyDescent="0.4">
      <c r="A16" s="9" t="s">
        <v>26</v>
      </c>
      <c r="B16" s="44" t="s">
        <v>12</v>
      </c>
      <c r="C16" s="44">
        <f>単価入力!E20*1.05</f>
        <v>407.08499999999998</v>
      </c>
      <c r="D16" s="44">
        <f>単価入力!E5*2.55</f>
        <v>408</v>
      </c>
      <c r="E16" s="44">
        <f>単価入力!E7*0.075</f>
        <v>11.25</v>
      </c>
      <c r="F16" s="44">
        <f>単価入力!E6*0.075</f>
        <v>27</v>
      </c>
      <c r="G16" s="44">
        <f>単価入力!E8*0.103</f>
        <v>10.917999999999999</v>
      </c>
      <c r="H16" s="8">
        <f t="shared" si="0"/>
        <v>22.858400000000003</v>
      </c>
      <c r="I16" s="43">
        <f t="shared" si="1"/>
        <v>887.1114</v>
      </c>
      <c r="J16" s="47">
        <v>702</v>
      </c>
      <c r="K16" s="7">
        <f t="shared" si="2"/>
        <v>1.2636914529914529</v>
      </c>
    </row>
    <row r="17" spans="1:11" x14ac:dyDescent="0.4">
      <c r="A17" s="9" t="s">
        <v>27</v>
      </c>
      <c r="B17" s="44" t="s">
        <v>12</v>
      </c>
      <c r="C17" s="44">
        <f>単価入力!B23*1.05</f>
        <v>460.11</v>
      </c>
      <c r="D17" s="44">
        <f>単価入力!E5*0.855</f>
        <v>136.80000000000001</v>
      </c>
      <c r="E17" s="44">
        <f>単価入力!E7*0.025</f>
        <v>3.75</v>
      </c>
      <c r="F17" s="44">
        <f>単価入力!E6*0.025</f>
        <v>9</v>
      </c>
      <c r="G17" s="44">
        <f>単価入力!E8*0.116</f>
        <v>12.296000000000001</v>
      </c>
      <c r="H17" s="8">
        <f t="shared" si="0"/>
        <v>8.0922999999999998</v>
      </c>
      <c r="I17" s="43">
        <f t="shared" si="1"/>
        <v>630.04830000000015</v>
      </c>
      <c r="J17" s="47">
        <v>576</v>
      </c>
      <c r="K17" s="7">
        <f t="shared" si="2"/>
        <v>1.093833854166667</v>
      </c>
    </row>
    <row r="18" spans="1:11" x14ac:dyDescent="0.4">
      <c r="A18" s="9"/>
      <c r="B18" s="44"/>
      <c r="C18" s="44"/>
      <c r="D18" s="44"/>
      <c r="E18" s="44"/>
      <c r="F18" s="44"/>
      <c r="G18" s="44"/>
      <c r="H18" s="44"/>
      <c r="I18" s="18"/>
      <c r="J18" s="44"/>
      <c r="K18" s="44"/>
    </row>
    <row r="19" spans="1:11" x14ac:dyDescent="0.4">
      <c r="A19" s="2"/>
    </row>
    <row r="20" spans="1:11" x14ac:dyDescent="0.4">
      <c r="A20" s="2"/>
    </row>
    <row r="21" spans="1:11" x14ac:dyDescent="0.4">
      <c r="A21" s="2"/>
    </row>
    <row r="22" spans="1:11" x14ac:dyDescent="0.4">
      <c r="A22" s="2"/>
    </row>
  </sheetData>
  <mergeCells count="6">
    <mergeCell ref="K3:K4"/>
    <mergeCell ref="A3:A4"/>
    <mergeCell ref="B3:B4"/>
    <mergeCell ref="D3:H3"/>
    <mergeCell ref="I3:I4"/>
    <mergeCell ref="J3:J4"/>
  </mergeCells>
  <phoneticPr fontId="2"/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2"/>
  <sheetViews>
    <sheetView workbookViewId="0">
      <selection activeCell="E23" sqref="E23"/>
    </sheetView>
  </sheetViews>
  <sheetFormatPr defaultColWidth="9" defaultRowHeight="18.75" x14ac:dyDescent="0.4"/>
  <cols>
    <col min="1" max="1" width="22.125" style="1" customWidth="1"/>
    <col min="2" max="2" width="5.25" style="1" bestFit="1" customWidth="1"/>
    <col min="3" max="3" width="16.75" style="1" customWidth="1"/>
    <col min="4" max="6" width="9" style="1"/>
    <col min="7" max="7" width="9.375" style="1" bestFit="1" customWidth="1"/>
    <col min="8" max="8" width="9" style="1"/>
    <col min="9" max="9" width="9" style="17"/>
    <col min="10" max="10" width="9.75" style="1" customWidth="1"/>
    <col min="11" max="16384" width="9" style="1"/>
  </cols>
  <sheetData>
    <row r="1" spans="1:11" ht="19.5" x14ac:dyDescent="0.4">
      <c r="A1" s="12" t="s">
        <v>10</v>
      </c>
      <c r="B1" s="13"/>
      <c r="C1" s="12" t="str">
        <f>単価入力!A2</f>
        <v>建設物価調査会</v>
      </c>
      <c r="D1" s="13"/>
      <c r="E1" s="14" t="str">
        <f>単価入力!B11</f>
        <v>東京</v>
      </c>
      <c r="F1" s="3" t="s">
        <v>57</v>
      </c>
      <c r="G1" s="3"/>
      <c r="H1" s="3"/>
      <c r="I1" s="16"/>
    </row>
    <row r="2" spans="1:11" x14ac:dyDescent="0.4">
      <c r="A2" s="2"/>
      <c r="C2" s="2"/>
      <c r="E2" s="3"/>
      <c r="F2" s="3"/>
      <c r="G2" s="3"/>
      <c r="H2" s="3"/>
      <c r="I2" s="16"/>
    </row>
    <row r="3" spans="1:11" x14ac:dyDescent="0.4">
      <c r="A3" s="132" t="s">
        <v>14</v>
      </c>
      <c r="B3" s="132" t="s">
        <v>1</v>
      </c>
      <c r="C3" s="4" t="s">
        <v>3</v>
      </c>
      <c r="D3" s="135" t="s">
        <v>2</v>
      </c>
      <c r="E3" s="135"/>
      <c r="F3" s="135"/>
      <c r="G3" s="135"/>
      <c r="H3" s="135"/>
      <c r="I3" s="134" t="s">
        <v>8</v>
      </c>
      <c r="J3" s="135" t="s">
        <v>0</v>
      </c>
      <c r="K3" s="135" t="s">
        <v>9</v>
      </c>
    </row>
    <row r="4" spans="1:11" x14ac:dyDescent="0.4">
      <c r="A4" s="133"/>
      <c r="B4" s="133"/>
      <c r="C4" s="5" t="s">
        <v>11</v>
      </c>
      <c r="D4" s="44" t="s">
        <v>4</v>
      </c>
      <c r="E4" s="44" t="s">
        <v>5</v>
      </c>
      <c r="F4" s="11" t="s">
        <v>6</v>
      </c>
      <c r="G4" s="44" t="s">
        <v>13</v>
      </c>
      <c r="H4" s="44" t="s">
        <v>7</v>
      </c>
      <c r="I4" s="134"/>
      <c r="J4" s="135"/>
      <c r="K4" s="135"/>
    </row>
    <row r="5" spans="1:11" x14ac:dyDescent="0.4">
      <c r="A5" s="9" t="s">
        <v>15</v>
      </c>
      <c r="B5" s="44" t="s">
        <v>12</v>
      </c>
      <c r="C5" s="44">
        <f>単価入力!B14*0.91</f>
        <v>159.52300000000002</v>
      </c>
      <c r="D5" s="44">
        <f>単価入力!E5*0.57</f>
        <v>91.199999999999989</v>
      </c>
      <c r="E5" s="44">
        <f>単価入力!E7*0.025</f>
        <v>3.75</v>
      </c>
      <c r="F5" s="44">
        <f>単価入力!E6*0.025</f>
        <v>9</v>
      </c>
      <c r="G5" s="44">
        <f>単価入力!E8*0.04</f>
        <v>4.24</v>
      </c>
      <c r="H5" s="8">
        <f>(D5+E5+F5+G5)*0.05</f>
        <v>5.4094999999999995</v>
      </c>
      <c r="I5" s="43">
        <f>SUM(C5:H5)</f>
        <v>273.1225</v>
      </c>
      <c r="J5" s="44">
        <v>220.5</v>
      </c>
      <c r="K5" s="7">
        <f>I5/J5</f>
        <v>1.2386507936507936</v>
      </c>
    </row>
    <row r="6" spans="1:11" x14ac:dyDescent="0.4">
      <c r="A6" s="9" t="s">
        <v>16</v>
      </c>
      <c r="B6" s="44" t="s">
        <v>12</v>
      </c>
      <c r="C6" s="44">
        <f>単価入力!C14*0.91</f>
        <v>179.816</v>
      </c>
      <c r="D6" s="44">
        <f>単価入力!E5*0.76</f>
        <v>121.6</v>
      </c>
      <c r="E6" s="44">
        <f>単価入力!E7*0.033</f>
        <v>4.95</v>
      </c>
      <c r="F6" s="44">
        <f>単価入力!E6*0.033</f>
        <v>11.88</v>
      </c>
      <c r="G6" s="44">
        <f>単価入力!E8*0.043</f>
        <v>4.5579999999999998</v>
      </c>
      <c r="H6" s="8">
        <f t="shared" ref="H6:H17" si="0">(D6+E6+F6+G6)*0.05</f>
        <v>7.1494</v>
      </c>
      <c r="I6" s="43">
        <f t="shared" ref="I6:I17" si="1">SUM(C6:H6)</f>
        <v>329.95339999999999</v>
      </c>
      <c r="J6" s="44">
        <v>261</v>
      </c>
      <c r="K6" s="7">
        <f t="shared" ref="K6:K17" si="2">I6/J6</f>
        <v>1.2641892720306513</v>
      </c>
    </row>
    <row r="7" spans="1:11" x14ac:dyDescent="0.4">
      <c r="A7" s="9" t="s">
        <v>17</v>
      </c>
      <c r="B7" s="44" t="s">
        <v>12</v>
      </c>
      <c r="C7" s="44">
        <f>単価入力!D14*0.91</f>
        <v>264.62800000000004</v>
      </c>
      <c r="D7" s="44">
        <f>単価入力!E5*1.13</f>
        <v>180.79999999999998</v>
      </c>
      <c r="E7" s="44">
        <f>単価入力!E7*0.05</f>
        <v>7.5</v>
      </c>
      <c r="F7" s="44">
        <f>単価入力!E6*0.05</f>
        <v>18</v>
      </c>
      <c r="G7" s="44">
        <f>単価入力!E8*0.065</f>
        <v>6.8900000000000006</v>
      </c>
      <c r="H7" s="8">
        <f t="shared" si="0"/>
        <v>10.659500000000001</v>
      </c>
      <c r="I7" s="43">
        <f t="shared" si="1"/>
        <v>488.47749999999996</v>
      </c>
      <c r="J7" s="44">
        <v>396</v>
      </c>
      <c r="K7" s="7">
        <f t="shared" si="2"/>
        <v>1.2335290404040402</v>
      </c>
    </row>
    <row r="8" spans="1:11" x14ac:dyDescent="0.4">
      <c r="A8" s="9" t="s">
        <v>18</v>
      </c>
      <c r="B8" s="44" t="s">
        <v>12</v>
      </c>
      <c r="C8" s="44">
        <f>単価入力!E14*0.91</f>
        <v>288.65199999999999</v>
      </c>
      <c r="D8" s="44">
        <f>単価入力!E5*1.7</f>
        <v>272</v>
      </c>
      <c r="E8" s="44">
        <f>単価入力!E7*0.075</f>
        <v>11.25</v>
      </c>
      <c r="F8" s="44">
        <f>単価入力!E6*0.075</f>
        <v>27</v>
      </c>
      <c r="G8" s="44">
        <f>単価入力!E8*0.073</f>
        <v>7.7379999999999995</v>
      </c>
      <c r="H8" s="8">
        <f t="shared" si="0"/>
        <v>15.8994</v>
      </c>
      <c r="I8" s="43">
        <f t="shared" si="1"/>
        <v>622.53940000000011</v>
      </c>
      <c r="J8" s="44">
        <v>526.5</v>
      </c>
      <c r="K8" s="7">
        <f t="shared" si="2"/>
        <v>1.1824110161443497</v>
      </c>
    </row>
    <row r="9" spans="1:11" x14ac:dyDescent="0.4">
      <c r="A9" s="9" t="s">
        <v>19</v>
      </c>
      <c r="B9" s="44" t="s">
        <v>12</v>
      </c>
      <c r="C9" s="44">
        <f>単価入力!B17*0.91</f>
        <v>177.17699999999999</v>
      </c>
      <c r="D9" s="44">
        <f>単価入力!E5*0.57</f>
        <v>91.199999999999989</v>
      </c>
      <c r="E9" s="44">
        <f>単価入力!E7*0.025</f>
        <v>3.75</v>
      </c>
      <c r="F9" s="44">
        <f>単価入力!E6*0.025</f>
        <v>9</v>
      </c>
      <c r="G9" s="44">
        <f>単価入力!E8*0.044</f>
        <v>4.6639999999999997</v>
      </c>
      <c r="H9" s="8">
        <f t="shared" si="0"/>
        <v>5.4306999999999999</v>
      </c>
      <c r="I9" s="43">
        <f t="shared" si="1"/>
        <v>291.22169999999994</v>
      </c>
      <c r="J9" s="44">
        <v>229.5</v>
      </c>
      <c r="K9" s="7">
        <f t="shared" si="2"/>
        <v>1.2689398692810454</v>
      </c>
    </row>
    <row r="10" spans="1:11" x14ac:dyDescent="0.4">
      <c r="A10" s="9" t="s">
        <v>20</v>
      </c>
      <c r="B10" s="44" t="s">
        <v>12</v>
      </c>
      <c r="C10" s="44">
        <f>単価入力!C17*0.91</f>
        <v>187.642</v>
      </c>
      <c r="D10" s="44">
        <f>単価入力!E5*0.76</f>
        <v>121.6</v>
      </c>
      <c r="E10" s="44">
        <f>単価入力!E7*0.033</f>
        <v>4.95</v>
      </c>
      <c r="F10" s="44">
        <f>単価入力!E6*0.033</f>
        <v>11.88</v>
      </c>
      <c r="G10" s="44">
        <f>単価入力!E8*0.049</f>
        <v>5.194</v>
      </c>
      <c r="H10" s="8">
        <f t="shared" si="0"/>
        <v>7.1812000000000005</v>
      </c>
      <c r="I10" s="43">
        <f t="shared" si="1"/>
        <v>338.44719999999995</v>
      </c>
      <c r="J10" s="44">
        <v>274.5</v>
      </c>
      <c r="K10" s="7">
        <f t="shared" si="2"/>
        <v>1.23295883424408</v>
      </c>
    </row>
    <row r="11" spans="1:11" x14ac:dyDescent="0.4">
      <c r="A11" s="9" t="s">
        <v>21</v>
      </c>
      <c r="B11" s="44" t="s">
        <v>12</v>
      </c>
      <c r="C11" s="44">
        <f>単価入力!D17*0.91</f>
        <v>288.65199999999999</v>
      </c>
      <c r="D11" s="44">
        <f>単価入力!E5*1.13</f>
        <v>180.79999999999998</v>
      </c>
      <c r="E11" s="44">
        <f>単価入力!E7*0.05</f>
        <v>7.5</v>
      </c>
      <c r="F11" s="44">
        <f>単価入力!E6*0.05</f>
        <v>18</v>
      </c>
      <c r="G11" s="44">
        <f>単価入力!E8*0.073</f>
        <v>7.7379999999999995</v>
      </c>
      <c r="H11" s="8">
        <f t="shared" si="0"/>
        <v>10.7019</v>
      </c>
      <c r="I11" s="43">
        <f t="shared" si="1"/>
        <v>513.39189999999996</v>
      </c>
      <c r="J11" s="44">
        <v>414</v>
      </c>
      <c r="K11" s="7">
        <f t="shared" si="2"/>
        <v>1.2400770531400966</v>
      </c>
    </row>
    <row r="12" spans="1:11" x14ac:dyDescent="0.4">
      <c r="A12" s="9" t="s">
        <v>22</v>
      </c>
      <c r="B12" s="44" t="s">
        <v>12</v>
      </c>
      <c r="C12" s="44">
        <f>単価入力!E17*0.91</f>
        <v>317.59000000000003</v>
      </c>
      <c r="D12" s="44">
        <f>単価入力!E5*1.7</f>
        <v>272</v>
      </c>
      <c r="E12" s="44">
        <f>単価入力!E7*0.075</f>
        <v>11.25</v>
      </c>
      <c r="F12" s="44">
        <f>単価入力!E6*0.075</f>
        <v>27</v>
      </c>
      <c r="G12" s="44">
        <f>単価入力!E8*0.08</f>
        <v>8.48</v>
      </c>
      <c r="H12" s="8">
        <f t="shared" si="0"/>
        <v>15.936500000000002</v>
      </c>
      <c r="I12" s="43">
        <f t="shared" si="1"/>
        <v>652.25650000000007</v>
      </c>
      <c r="J12" s="44">
        <v>535.5</v>
      </c>
      <c r="K12" s="7">
        <f t="shared" si="2"/>
        <v>1.2180326797385623</v>
      </c>
    </row>
    <row r="13" spans="1:11" x14ac:dyDescent="0.4">
      <c r="A13" s="9" t="s">
        <v>23</v>
      </c>
      <c r="B13" s="44" t="s">
        <v>12</v>
      </c>
      <c r="C13" s="44">
        <f>単価入力!B20*0.91</f>
        <v>187.642</v>
      </c>
      <c r="D13" s="44">
        <f>単価入力!E5*0.57</f>
        <v>91.199999999999989</v>
      </c>
      <c r="E13" s="44">
        <f>単価入力!E7*0.025</f>
        <v>3.75</v>
      </c>
      <c r="F13" s="44">
        <f>単価入力!E6*0.025</f>
        <v>9</v>
      </c>
      <c r="G13" s="44">
        <f>単価入力!E8*0.047</f>
        <v>4.9820000000000002</v>
      </c>
      <c r="H13" s="8">
        <f t="shared" si="0"/>
        <v>5.4466000000000001</v>
      </c>
      <c r="I13" s="43">
        <f t="shared" si="1"/>
        <v>302.0206</v>
      </c>
      <c r="J13" s="44">
        <v>220.5</v>
      </c>
      <c r="K13" s="7">
        <f t="shared" si="2"/>
        <v>1.3697079365079365</v>
      </c>
    </row>
    <row r="14" spans="1:11" x14ac:dyDescent="0.4">
      <c r="A14" s="9" t="s">
        <v>24</v>
      </c>
      <c r="B14" s="44" t="s">
        <v>12</v>
      </c>
      <c r="C14" s="44">
        <f>単価入力!C20*0.91</f>
        <v>199.65400000000002</v>
      </c>
      <c r="D14" s="44">
        <f>単価入力!E5*0.76</f>
        <v>121.6</v>
      </c>
      <c r="E14" s="44">
        <f>単価入力!E7*0.033</f>
        <v>4.95</v>
      </c>
      <c r="F14" s="44">
        <f>単価入力!E6*0.033</f>
        <v>11.88</v>
      </c>
      <c r="G14" s="44">
        <f>単価入力!E8*0.052</f>
        <v>5.5119999999999996</v>
      </c>
      <c r="H14" s="8">
        <f t="shared" si="0"/>
        <v>7.1971000000000007</v>
      </c>
      <c r="I14" s="43">
        <f t="shared" si="1"/>
        <v>350.79309999999998</v>
      </c>
      <c r="J14" s="44">
        <v>261</v>
      </c>
      <c r="K14" s="7">
        <f t="shared" si="2"/>
        <v>1.3440348659003831</v>
      </c>
    </row>
    <row r="15" spans="1:11" x14ac:dyDescent="0.4">
      <c r="A15" s="9" t="s">
        <v>25</v>
      </c>
      <c r="B15" s="44" t="s">
        <v>12</v>
      </c>
      <c r="C15" s="44">
        <f>単価入力!D20*0.91</f>
        <v>317.59000000000003</v>
      </c>
      <c r="D15" s="44">
        <f>単価入力!E5*1.13</f>
        <v>180.79999999999998</v>
      </c>
      <c r="E15" s="44">
        <f>単価入力!E7*0.05</f>
        <v>7.5</v>
      </c>
      <c r="F15" s="44">
        <f>単価入力!E6*0.05</f>
        <v>18</v>
      </c>
      <c r="G15" s="44">
        <f>単価入力!E8*0.077</f>
        <v>8.161999999999999</v>
      </c>
      <c r="H15" s="8">
        <f t="shared" si="0"/>
        <v>10.723100000000001</v>
      </c>
      <c r="I15" s="43">
        <f t="shared" si="1"/>
        <v>542.77510000000007</v>
      </c>
      <c r="J15" s="44">
        <v>396</v>
      </c>
      <c r="K15" s="7">
        <f t="shared" si="2"/>
        <v>1.3706441919191921</v>
      </c>
    </row>
    <row r="16" spans="1:11" x14ac:dyDescent="0.4">
      <c r="A16" s="9" t="s">
        <v>26</v>
      </c>
      <c r="B16" s="44" t="s">
        <v>12</v>
      </c>
      <c r="C16" s="44">
        <f>単価入力!E20*0.91</f>
        <v>352.80700000000002</v>
      </c>
      <c r="D16" s="44">
        <f>単価入力!E5*1.7</f>
        <v>272</v>
      </c>
      <c r="E16" s="44">
        <f>単価入力!E7*0.075</f>
        <v>11.25</v>
      </c>
      <c r="F16" s="44">
        <f>単価入力!E6*0.075</f>
        <v>27</v>
      </c>
      <c r="G16" s="44">
        <f>単価入力!E8*0.089</f>
        <v>9.4339999999999993</v>
      </c>
      <c r="H16" s="8">
        <f t="shared" si="0"/>
        <v>15.984200000000001</v>
      </c>
      <c r="I16" s="43">
        <f t="shared" si="1"/>
        <v>688.47519999999997</v>
      </c>
      <c r="J16" s="44">
        <v>526.5</v>
      </c>
      <c r="K16" s="7">
        <f t="shared" si="2"/>
        <v>1.3076452041785374</v>
      </c>
    </row>
    <row r="17" spans="1:11" x14ac:dyDescent="0.4">
      <c r="A17" s="9" t="s">
        <v>27</v>
      </c>
      <c r="B17" s="44" t="s">
        <v>12</v>
      </c>
      <c r="C17" s="44">
        <f>単価入力!B23*0.91</f>
        <v>398.762</v>
      </c>
      <c r="D17" s="44">
        <f>単価入力!E5*0.57</f>
        <v>91.199999999999989</v>
      </c>
      <c r="E17" s="44">
        <f>単価入力!E7*0.025</f>
        <v>3.75</v>
      </c>
      <c r="F17" s="44">
        <f>単価入力!E6*0.025</f>
        <v>9</v>
      </c>
      <c r="G17" s="44">
        <f>単価入力!E8*0.1</f>
        <v>10.600000000000001</v>
      </c>
      <c r="H17" s="8">
        <f t="shared" si="0"/>
        <v>5.7274999999999991</v>
      </c>
      <c r="I17" s="43">
        <f t="shared" si="1"/>
        <v>519.03949999999998</v>
      </c>
      <c r="J17" s="44">
        <v>432</v>
      </c>
      <c r="K17" s="7">
        <f t="shared" si="2"/>
        <v>1.2014803240740741</v>
      </c>
    </row>
    <row r="18" spans="1:11" x14ac:dyDescent="0.4">
      <c r="A18" s="9"/>
      <c r="B18" s="44"/>
      <c r="C18" s="44"/>
      <c r="D18" s="44"/>
      <c r="E18" s="44"/>
      <c r="F18" s="44"/>
      <c r="G18" s="44"/>
      <c r="H18" s="44"/>
      <c r="I18" s="18"/>
      <c r="J18" s="44"/>
      <c r="K18" s="44"/>
    </row>
    <row r="19" spans="1:11" x14ac:dyDescent="0.4">
      <c r="A19" s="2"/>
    </row>
    <row r="20" spans="1:11" x14ac:dyDescent="0.4">
      <c r="A20" s="2"/>
    </row>
    <row r="21" spans="1:11" x14ac:dyDescent="0.4">
      <c r="A21" s="2"/>
    </row>
    <row r="22" spans="1:11" x14ac:dyDescent="0.4">
      <c r="A22" s="2"/>
    </row>
  </sheetData>
  <mergeCells count="6">
    <mergeCell ref="K3:K4"/>
    <mergeCell ref="A3:A4"/>
    <mergeCell ref="B3:B4"/>
    <mergeCell ref="D3:H3"/>
    <mergeCell ref="I3:I4"/>
    <mergeCell ref="J3:J4"/>
  </mergeCells>
  <phoneticPr fontId="2"/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9"/>
  <sheetViews>
    <sheetView workbookViewId="0">
      <selection activeCell="J20" sqref="J20"/>
    </sheetView>
  </sheetViews>
  <sheetFormatPr defaultColWidth="9" defaultRowHeight="18.75" x14ac:dyDescent="0.4"/>
  <cols>
    <col min="1" max="1" width="22.125" style="1" customWidth="1"/>
    <col min="2" max="2" width="5.25" style="1" bestFit="1" customWidth="1"/>
    <col min="3" max="3" width="16.75" style="1" customWidth="1"/>
    <col min="4" max="4" width="9" style="1"/>
    <col min="5" max="5" width="10.5" style="1" bestFit="1" customWidth="1"/>
    <col min="6" max="6" width="9.5" style="1" bestFit="1" customWidth="1"/>
    <col min="7" max="7" width="9" style="1"/>
    <col min="8" max="8" width="9" style="17"/>
    <col min="9" max="9" width="9.75" style="1" customWidth="1"/>
    <col min="10" max="16384" width="9" style="1"/>
  </cols>
  <sheetData>
    <row r="1" spans="1:10" ht="19.5" x14ac:dyDescent="0.4">
      <c r="A1" s="12" t="s">
        <v>10</v>
      </c>
      <c r="B1" s="13"/>
      <c r="C1" s="12" t="str">
        <f>単価入力!A2</f>
        <v>建設物価調査会</v>
      </c>
      <c r="D1" s="14" t="str">
        <f>単価入力!B11</f>
        <v>東京</v>
      </c>
      <c r="E1" s="14"/>
      <c r="F1" s="3" t="s">
        <v>63</v>
      </c>
      <c r="G1" s="3"/>
      <c r="H1" s="16"/>
    </row>
    <row r="2" spans="1:10" x14ac:dyDescent="0.4">
      <c r="A2" s="2"/>
      <c r="C2" s="2"/>
      <c r="D2" s="3"/>
      <c r="E2" s="3"/>
      <c r="F2" s="3"/>
      <c r="G2" s="3"/>
      <c r="H2" s="16"/>
    </row>
    <row r="3" spans="1:10" x14ac:dyDescent="0.4">
      <c r="A3" s="132" t="s">
        <v>14</v>
      </c>
      <c r="B3" s="132" t="s">
        <v>1</v>
      </c>
      <c r="C3" s="4" t="s">
        <v>3</v>
      </c>
      <c r="D3" s="135" t="s">
        <v>2</v>
      </c>
      <c r="E3" s="135"/>
      <c r="F3" s="135"/>
      <c r="G3" s="135"/>
      <c r="H3" s="134" t="s">
        <v>8</v>
      </c>
      <c r="I3" s="135" t="s">
        <v>0</v>
      </c>
      <c r="J3" s="135" t="s">
        <v>9</v>
      </c>
    </row>
    <row r="4" spans="1:10" x14ac:dyDescent="0.4">
      <c r="A4" s="133"/>
      <c r="B4" s="133"/>
      <c r="C4" s="5" t="s">
        <v>11</v>
      </c>
      <c r="D4" s="46" t="s">
        <v>4</v>
      </c>
      <c r="E4" s="46" t="s">
        <v>79</v>
      </c>
      <c r="F4" s="46" t="s">
        <v>49</v>
      </c>
      <c r="G4" s="46" t="s">
        <v>7</v>
      </c>
      <c r="H4" s="134"/>
      <c r="I4" s="135"/>
      <c r="J4" s="135"/>
    </row>
    <row r="5" spans="1:10" x14ac:dyDescent="0.4">
      <c r="A5" s="52" t="s">
        <v>64</v>
      </c>
      <c r="B5" s="46" t="s">
        <v>12</v>
      </c>
      <c r="C5" s="46">
        <f>単価入力!B36</f>
        <v>72.83</v>
      </c>
      <c r="D5" s="46">
        <f>単価入力!E29*0.07</f>
        <v>56.000000000000007</v>
      </c>
      <c r="E5" s="46">
        <f>単価入力!E7*0.059</f>
        <v>8.85</v>
      </c>
      <c r="F5" s="46">
        <f>単価入力!E8*0.034</f>
        <v>3.6040000000000001</v>
      </c>
      <c r="G5" s="8">
        <f>(F5+E5+D5)*0.03</f>
        <v>2.05362</v>
      </c>
      <c r="H5" s="45">
        <f>SUM(C5:G5)</f>
        <v>143.33762000000002</v>
      </c>
      <c r="I5" s="46">
        <v>125</v>
      </c>
      <c r="J5" s="7">
        <f>H5/I5</f>
        <v>1.1467009600000002</v>
      </c>
    </row>
    <row r="6" spans="1:10" x14ac:dyDescent="0.4">
      <c r="A6" s="52" t="s">
        <v>65</v>
      </c>
      <c r="B6" s="46" t="s">
        <v>12</v>
      </c>
      <c r="C6" s="46">
        <f>単価入力!B39</f>
        <v>87.4</v>
      </c>
      <c r="D6" s="46">
        <f>単価入力!E29*0.07</f>
        <v>56.000000000000007</v>
      </c>
      <c r="E6" s="46">
        <f>単価入力!E7*0.059</f>
        <v>8.85</v>
      </c>
      <c r="F6" s="49">
        <f>単価入力!E8*0.041</f>
        <v>4.3460000000000001</v>
      </c>
      <c r="G6" s="8">
        <f t="shared" ref="G6:G10" si="0">(F6+E6+D6)*0.03</f>
        <v>2.0758800000000002</v>
      </c>
      <c r="H6" s="45">
        <f t="shared" ref="H6:H10" si="1">SUM(C6:G6)</f>
        <v>158.67188000000002</v>
      </c>
      <c r="I6" s="46">
        <v>130</v>
      </c>
      <c r="J6" s="7">
        <f t="shared" ref="J6:J10" si="2">H6/I6</f>
        <v>1.2205529230769232</v>
      </c>
    </row>
    <row r="7" spans="1:10" x14ac:dyDescent="0.4">
      <c r="A7" s="52" t="s">
        <v>66</v>
      </c>
      <c r="B7" s="46" t="s">
        <v>12</v>
      </c>
      <c r="C7" s="46">
        <f>単価入力!E39</f>
        <v>109.2</v>
      </c>
      <c r="D7" s="46">
        <f>単価入力!E29*0.07*2</f>
        <v>112.00000000000001</v>
      </c>
      <c r="E7" s="49">
        <f>単価入力!E7*0.118</f>
        <v>17.7</v>
      </c>
      <c r="F7" s="49">
        <f>単価入力!E8*0.051</f>
        <v>5.4059999999999997</v>
      </c>
      <c r="G7" s="8">
        <f t="shared" si="0"/>
        <v>4.0531800000000002</v>
      </c>
      <c r="H7" s="48">
        <f t="shared" si="1"/>
        <v>248.35918000000001</v>
      </c>
      <c r="I7" s="46">
        <v>230</v>
      </c>
      <c r="J7" s="7">
        <f t="shared" si="2"/>
        <v>1.0798225217391304</v>
      </c>
    </row>
    <row r="8" spans="1:10" x14ac:dyDescent="0.4">
      <c r="A8" s="52" t="s">
        <v>67</v>
      </c>
      <c r="B8" s="46" t="s">
        <v>12</v>
      </c>
      <c r="C8" s="46">
        <f>単価入力!B36</f>
        <v>72.83</v>
      </c>
      <c r="D8" s="46">
        <f>単価入力!E28*0.05</f>
        <v>40</v>
      </c>
      <c r="E8" s="49">
        <f>単価入力!E7*0.039</f>
        <v>5.85</v>
      </c>
      <c r="F8" s="49">
        <f>単価入力!E8*0.034</f>
        <v>3.6040000000000001</v>
      </c>
      <c r="G8" s="8">
        <f t="shared" si="0"/>
        <v>1.4836199999999999</v>
      </c>
      <c r="H8" s="48">
        <f t="shared" si="1"/>
        <v>123.76761999999999</v>
      </c>
      <c r="I8" s="46">
        <v>105</v>
      </c>
      <c r="J8" s="7">
        <f t="shared" si="2"/>
        <v>1.178739238095238</v>
      </c>
    </row>
    <row r="9" spans="1:10" x14ac:dyDescent="0.4">
      <c r="A9" s="52" t="s">
        <v>68</v>
      </c>
      <c r="B9" s="46" t="s">
        <v>12</v>
      </c>
      <c r="C9" s="46">
        <f>単価入力!B39</f>
        <v>87.4</v>
      </c>
      <c r="D9" s="49">
        <f>単価入力!E28*0.05</f>
        <v>40</v>
      </c>
      <c r="E9" s="49">
        <f>単価入力!E7*0.039</f>
        <v>5.85</v>
      </c>
      <c r="F9" s="49">
        <f>単価入力!E8*0.041</f>
        <v>4.3460000000000001</v>
      </c>
      <c r="G9" s="8">
        <f t="shared" si="0"/>
        <v>1.5058799999999999</v>
      </c>
      <c r="H9" s="48">
        <f t="shared" si="1"/>
        <v>139.10187999999999</v>
      </c>
      <c r="I9" s="46">
        <v>110</v>
      </c>
      <c r="J9" s="7">
        <f t="shared" si="2"/>
        <v>1.2645625454545455</v>
      </c>
    </row>
    <row r="10" spans="1:10" x14ac:dyDescent="0.4">
      <c r="A10" s="52" t="s">
        <v>69</v>
      </c>
      <c r="B10" s="46" t="s">
        <v>12</v>
      </c>
      <c r="C10" s="46">
        <f>単価入力!E39</f>
        <v>109.2</v>
      </c>
      <c r="D10" s="49">
        <f>単価入力!E28*0.05*2</f>
        <v>80</v>
      </c>
      <c r="E10" s="49">
        <f>単価入力!E7*0.078</f>
        <v>11.7</v>
      </c>
      <c r="F10" s="49">
        <f>単価入力!E8*0.051</f>
        <v>5.4059999999999997</v>
      </c>
      <c r="G10" s="8">
        <f t="shared" si="0"/>
        <v>2.9131799999999997</v>
      </c>
      <c r="H10" s="48">
        <f t="shared" si="1"/>
        <v>209.21917999999999</v>
      </c>
      <c r="I10" s="46" t="s">
        <v>72</v>
      </c>
      <c r="J10" s="7" t="e">
        <f t="shared" si="2"/>
        <v>#VALUE!</v>
      </c>
    </row>
    <row r="11" spans="1:10" x14ac:dyDescent="0.4">
      <c r="A11" s="9"/>
      <c r="B11" s="46"/>
      <c r="C11" s="46"/>
      <c r="D11" s="46"/>
      <c r="E11" s="46"/>
      <c r="F11" s="46"/>
      <c r="G11" s="46"/>
      <c r="H11" s="18"/>
      <c r="I11" s="46"/>
      <c r="J11" s="46"/>
    </row>
    <row r="12" spans="1:10" x14ac:dyDescent="0.4">
      <c r="A12" s="2"/>
    </row>
    <row r="13" spans="1:10" x14ac:dyDescent="0.4">
      <c r="A13" s="132" t="s">
        <v>14</v>
      </c>
      <c r="B13" s="132" t="s">
        <v>1</v>
      </c>
      <c r="C13" s="4" t="s">
        <v>3</v>
      </c>
      <c r="D13" s="135" t="s">
        <v>2</v>
      </c>
      <c r="E13" s="135"/>
      <c r="F13" s="135"/>
      <c r="G13" s="135"/>
      <c r="H13" s="134" t="s">
        <v>8</v>
      </c>
      <c r="I13" s="135" t="s">
        <v>0</v>
      </c>
      <c r="J13" s="135" t="s">
        <v>9</v>
      </c>
    </row>
    <row r="14" spans="1:10" x14ac:dyDescent="0.4">
      <c r="A14" s="133"/>
      <c r="B14" s="133"/>
      <c r="C14" s="5" t="s">
        <v>11</v>
      </c>
      <c r="D14" s="46" t="s">
        <v>4</v>
      </c>
      <c r="E14" s="46" t="s">
        <v>49</v>
      </c>
      <c r="F14" s="46" t="s">
        <v>70</v>
      </c>
      <c r="G14" s="46" t="s">
        <v>7</v>
      </c>
      <c r="H14" s="134"/>
      <c r="I14" s="135"/>
      <c r="J14" s="135"/>
    </row>
    <row r="15" spans="1:10" x14ac:dyDescent="0.4">
      <c r="A15" s="52" t="s">
        <v>73</v>
      </c>
      <c r="B15" s="46" t="s">
        <v>12</v>
      </c>
      <c r="C15" s="46">
        <f>単価入力!B45</f>
        <v>488.3</v>
      </c>
      <c r="D15" s="46">
        <f>単価入力!E40*0.07</f>
        <v>0</v>
      </c>
      <c r="E15" s="46">
        <f>単価入力!E8*0.067</f>
        <v>7.1020000000000003</v>
      </c>
      <c r="F15" s="46">
        <f>単価入力!E30*0.037</f>
        <v>4.3289999999999997</v>
      </c>
      <c r="G15" s="8"/>
      <c r="H15" s="45">
        <f>SUM(C15:G15)</f>
        <v>499.73099999999999</v>
      </c>
      <c r="I15" s="46">
        <v>420</v>
      </c>
      <c r="J15" s="7">
        <f>H15/I15</f>
        <v>1.1898357142857143</v>
      </c>
    </row>
    <row r="16" spans="1:10" x14ac:dyDescent="0.4">
      <c r="A16" s="52" t="s">
        <v>74</v>
      </c>
      <c r="B16" s="46" t="s">
        <v>78</v>
      </c>
      <c r="C16" s="46">
        <f>単価入力!B48</f>
        <v>810.9</v>
      </c>
      <c r="D16" s="46">
        <f>単価入力!E40*0.07</f>
        <v>0</v>
      </c>
      <c r="E16" s="46">
        <f>単価入力!E41*0.067</f>
        <v>0</v>
      </c>
      <c r="F16" s="46">
        <f>単価入力!E42*0.037</f>
        <v>0</v>
      </c>
      <c r="G16" s="8"/>
      <c r="H16" s="48">
        <f t="shared" ref="H16:H17" si="3">SUM(C16:G16)</f>
        <v>810.9</v>
      </c>
      <c r="I16" s="46">
        <v>640</v>
      </c>
      <c r="J16" s="7">
        <f t="shared" ref="J16:J18" si="4">H16/I16</f>
        <v>1.2670312500000001</v>
      </c>
    </row>
    <row r="17" spans="1:10" x14ac:dyDescent="0.4">
      <c r="A17" s="52" t="s">
        <v>77</v>
      </c>
      <c r="B17" s="46" t="s">
        <v>12</v>
      </c>
      <c r="C17" s="46">
        <f>単価入力!E48</f>
        <v>676.5</v>
      </c>
      <c r="D17" s="46">
        <f>単価入力!E40*0.07*2</f>
        <v>0</v>
      </c>
      <c r="E17" s="46">
        <f>単価入力!E41*0.067</f>
        <v>0</v>
      </c>
      <c r="F17" s="46">
        <f>単価入力!E42*0.037</f>
        <v>0</v>
      </c>
      <c r="G17" s="8"/>
      <c r="H17" s="48">
        <f t="shared" si="3"/>
        <v>676.5</v>
      </c>
      <c r="I17" s="46">
        <v>544</v>
      </c>
      <c r="J17" s="7">
        <f t="shared" si="4"/>
        <v>1.2435661764705883</v>
      </c>
    </row>
    <row r="18" spans="1:10" x14ac:dyDescent="0.4">
      <c r="A18" s="52" t="s">
        <v>80</v>
      </c>
      <c r="B18" s="46" t="s">
        <v>12</v>
      </c>
      <c r="C18" s="46">
        <v>481920</v>
      </c>
      <c r="D18" s="46"/>
      <c r="E18" s="46"/>
      <c r="F18" s="46"/>
      <c r="G18" s="8"/>
      <c r="H18" s="45">
        <f>C18</f>
        <v>481920</v>
      </c>
      <c r="I18" s="46">
        <v>380000</v>
      </c>
      <c r="J18" s="7">
        <f t="shared" si="4"/>
        <v>1.2682105263157895</v>
      </c>
    </row>
    <row r="19" spans="1:10" x14ac:dyDescent="0.4">
      <c r="A19" s="52" t="s">
        <v>81</v>
      </c>
      <c r="B19" s="46" t="s">
        <v>12</v>
      </c>
      <c r="C19" s="46">
        <v>468930</v>
      </c>
      <c r="D19" s="46"/>
      <c r="E19" s="46"/>
      <c r="F19" s="46"/>
      <c r="G19" s="8"/>
      <c r="H19" s="53">
        <f>C19</f>
        <v>468930</v>
      </c>
      <c r="I19" s="46"/>
      <c r="J19" s="7"/>
    </row>
  </sheetData>
  <mergeCells count="12">
    <mergeCell ref="J13:J14"/>
    <mergeCell ref="A3:A4"/>
    <mergeCell ref="B3:B4"/>
    <mergeCell ref="D3:G3"/>
    <mergeCell ref="H3:H4"/>
    <mergeCell ref="I3:I4"/>
    <mergeCell ref="J3:J4"/>
    <mergeCell ref="A13:A14"/>
    <mergeCell ref="B13:B14"/>
    <mergeCell ref="D13:G13"/>
    <mergeCell ref="H13:H14"/>
    <mergeCell ref="I13:I14"/>
  </mergeCells>
  <phoneticPr fontId="2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単価入力</vt:lpstr>
      <vt:lpstr>時間制約なし昼間</vt:lpstr>
      <vt:lpstr>一日未満で完了</vt:lpstr>
      <vt:lpstr>時間制約なし夜間</vt:lpstr>
      <vt:lpstr>時間制限なし昼間排水性舗装</vt:lpstr>
      <vt:lpstr>時間制限なし昼間未供用</vt:lpstr>
      <vt:lpstr>ペイント消去時間制約なし昼間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 ishii</dc:creator>
  <cp:lastModifiedBy>kazuo ishii</cp:lastModifiedBy>
  <cp:lastPrinted>2017-12-26T03:44:32Z</cp:lastPrinted>
  <dcterms:created xsi:type="dcterms:W3CDTF">2017-09-13T07:15:57Z</dcterms:created>
  <dcterms:modified xsi:type="dcterms:W3CDTF">2018-04-02T00:45:55Z</dcterms:modified>
</cp:coreProperties>
</file>